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mc:AlternateContent xmlns:mc="http://schemas.openxmlformats.org/markup-compatibility/2006">
    <mc:Choice Requires="x15">
      <x15ac:absPath xmlns:x15ac="http://schemas.microsoft.com/office/spreadsheetml/2010/11/ac" url="D:\IOM computer - 7 December 2020\IOM\Coordination and GWC\UNICEF\Webpage\Videos\Economic Analysis USAID\"/>
    </mc:Choice>
  </mc:AlternateContent>
  <xr:revisionPtr revIDLastSave="0" documentId="13_ncr:1_{F4A3720E-348B-41D5-96B1-FC267C8266D8}" xr6:coauthVersionLast="44" xr6:coauthVersionMax="44" xr10:uidLastSave="{00000000-0000-0000-0000-000000000000}"/>
  <bookViews>
    <workbookView xWindow="-110" yWindow="-110" windowWidth="19420" windowHeight="10420" tabRatio="898" firstSheet="3" activeTab="8" xr2:uid="{00000000-000D-0000-FFFF-FFFF00000000}"/>
  </bookViews>
  <sheets>
    <sheet name="Instructions" sheetId="20" r:id="rId1"/>
    <sheet name="0 EXAMPLE" sheetId="21" r:id="rId2"/>
    <sheet name="1 Reference Cost for Generators" sheetId="17" r:id="rId3"/>
    <sheet name="2 Generator Fuel Consumption" sheetId="2" r:id="rId4"/>
    <sheet name="3 Generator System" sheetId="15" r:id="rId5"/>
    <sheet name="4 Solar (Hybrid)" sheetId="14" r:id="rId6"/>
    <sheet name="5 Generator (Hybrid)" sheetId="18" r:id="rId7"/>
    <sheet name="6 Hybrid (Solar &amp; Generator)" sheetId="19" r:id="rId8"/>
    <sheet name="7 Graph" sheetId="16" r:id="rId9"/>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8" i="18" l="1"/>
  <c r="B5" i="18"/>
  <c r="C8" i="15"/>
  <c r="B5" i="15"/>
  <c r="H8" i="18" l="1"/>
  <c r="B4" i="18"/>
  <c r="B3" i="18"/>
  <c r="B2" i="18"/>
  <c r="B4" i="15" l="1"/>
  <c r="B1" i="18"/>
  <c r="B3" i="14" l="1"/>
  <c r="B2" i="14"/>
  <c r="H8" i="15"/>
  <c r="B3" i="15"/>
  <c r="B2" i="15"/>
  <c r="F8" i="15" l="1"/>
  <c r="G8" i="15"/>
  <c r="I8" i="15"/>
  <c r="I9" i="15" s="1"/>
  <c r="C9" i="15"/>
  <c r="C10" i="15" s="1"/>
  <c r="F9" i="15"/>
  <c r="D8" i="15"/>
  <c r="J9" i="15"/>
  <c r="E8" i="15"/>
  <c r="K9" i="15"/>
  <c r="D9" i="15" s="1"/>
  <c r="F8" i="18"/>
  <c r="G8" i="18"/>
  <c r="I8" i="18"/>
  <c r="I9" i="18" s="1"/>
  <c r="I10" i="18" s="1"/>
  <c r="I11" i="18" s="1"/>
  <c r="I12" i="18" s="1"/>
  <c r="I13" i="18" s="1"/>
  <c r="I14" i="18" s="1"/>
  <c r="I15" i="18" s="1"/>
  <c r="I16" i="18" s="1"/>
  <c r="I17" i="18" s="1"/>
  <c r="I18" i="18" s="1"/>
  <c r="I19" i="18" s="1"/>
  <c r="I20" i="18" s="1"/>
  <c r="I21" i="18" s="1"/>
  <c r="I22" i="18" s="1"/>
  <c r="I23" i="18" s="1"/>
  <c r="I24" i="18" s="1"/>
  <c r="I25" i="18" s="1"/>
  <c r="I26" i="18" s="1"/>
  <c r="I27" i="18" s="1"/>
  <c r="I28" i="18" s="1"/>
  <c r="I29" i="18" s="1"/>
  <c r="I30" i="18" s="1"/>
  <c r="I31" i="18" s="1"/>
  <c r="I32" i="18" s="1"/>
  <c r="C9" i="18"/>
  <c r="C10" i="18" s="1"/>
  <c r="D8" i="18"/>
  <c r="E8" i="18"/>
  <c r="K9" i="18" s="1"/>
  <c r="D9" i="18" s="1"/>
  <c r="J10" i="18" s="1"/>
  <c r="C4" i="16"/>
  <c r="B4" i="16"/>
  <c r="L8" i="18"/>
  <c r="B8" i="18"/>
  <c r="L9" i="18"/>
  <c r="L10" i="18"/>
  <c r="L11" i="18"/>
  <c r="L12" i="18"/>
  <c r="L13" i="18"/>
  <c r="L14" i="18"/>
  <c r="L15" i="18"/>
  <c r="L16" i="18"/>
  <c r="L17" i="18"/>
  <c r="L18" i="18"/>
  <c r="L19" i="18"/>
  <c r="L20" i="18"/>
  <c r="L21" i="18"/>
  <c r="L22" i="18"/>
  <c r="L23" i="18"/>
  <c r="L24" i="18"/>
  <c r="L25" i="18"/>
  <c r="L26" i="18"/>
  <c r="L27" i="18"/>
  <c r="L28" i="18"/>
  <c r="L29" i="18"/>
  <c r="L30" i="18"/>
  <c r="L31" i="18"/>
  <c r="L32" i="18"/>
  <c r="I6" i="14"/>
  <c r="J6" i="14" s="1"/>
  <c r="B6" i="14"/>
  <c r="I7" i="14"/>
  <c r="J7" i="14" s="1"/>
  <c r="C7" i="14"/>
  <c r="D7" i="14"/>
  <c r="F7" i="14"/>
  <c r="I8" i="14"/>
  <c r="J8" i="14" s="1"/>
  <c r="C8" i="14"/>
  <c r="D8" i="14"/>
  <c r="F8" i="14"/>
  <c r="I9" i="14"/>
  <c r="C9" i="14"/>
  <c r="D9" i="14"/>
  <c r="F9" i="14"/>
  <c r="J9" i="14"/>
  <c r="I10" i="14"/>
  <c r="J10" i="14" s="1"/>
  <c r="C10" i="14"/>
  <c r="D10" i="14"/>
  <c r="F10" i="14"/>
  <c r="I11" i="14"/>
  <c r="C11" i="14"/>
  <c r="D11" i="14"/>
  <c r="F11" i="14"/>
  <c r="J11" i="14"/>
  <c r="I12" i="14"/>
  <c r="C12" i="14"/>
  <c r="D12" i="14"/>
  <c r="F12" i="14"/>
  <c r="H12" i="14"/>
  <c r="J12" i="14" s="1"/>
  <c r="I13" i="14"/>
  <c r="J13" i="14" s="1"/>
  <c r="C13" i="14"/>
  <c r="D13" i="14"/>
  <c r="F13" i="14"/>
  <c r="I14" i="14"/>
  <c r="J14" i="14" s="1"/>
  <c r="C14" i="14"/>
  <c r="D14" i="14"/>
  <c r="F14" i="14"/>
  <c r="I15" i="14"/>
  <c r="J15" i="14" s="1"/>
  <c r="C15" i="14"/>
  <c r="D15" i="14"/>
  <c r="F15" i="14"/>
  <c r="I16" i="14"/>
  <c r="J16" i="14" s="1"/>
  <c r="C16" i="14"/>
  <c r="D16" i="14"/>
  <c r="F16" i="14"/>
  <c r="I17" i="14"/>
  <c r="C17" i="14"/>
  <c r="D17" i="14"/>
  <c r="F17" i="14"/>
  <c r="J17" i="14"/>
  <c r="I18" i="14"/>
  <c r="C18" i="14"/>
  <c r="D18" i="14"/>
  <c r="F18" i="14"/>
  <c r="J18" i="14"/>
  <c r="I19" i="14"/>
  <c r="C19" i="14"/>
  <c r="D19" i="14"/>
  <c r="F19" i="14"/>
  <c r="H19" i="14"/>
  <c r="I20" i="14"/>
  <c r="C20" i="14"/>
  <c r="D20" i="14"/>
  <c r="F20" i="14"/>
  <c r="J20" i="14"/>
  <c r="I21" i="14"/>
  <c r="J21" i="14" s="1"/>
  <c r="C21" i="14"/>
  <c r="D21" i="14"/>
  <c r="F21" i="14"/>
  <c r="I22" i="14"/>
  <c r="J22" i="14" s="1"/>
  <c r="C22" i="14"/>
  <c r="D22" i="14"/>
  <c r="F22" i="14"/>
  <c r="I23" i="14"/>
  <c r="J23" i="14" s="1"/>
  <c r="C23" i="14"/>
  <c r="D23" i="14"/>
  <c r="F23" i="14"/>
  <c r="I24" i="14"/>
  <c r="J24" i="14" s="1"/>
  <c r="C24" i="14"/>
  <c r="D24" i="14"/>
  <c r="F24" i="14"/>
  <c r="I25" i="14"/>
  <c r="C25" i="14"/>
  <c r="D25" i="14"/>
  <c r="F25" i="14"/>
  <c r="J25" i="14"/>
  <c r="I26" i="14"/>
  <c r="C26" i="14"/>
  <c r="D26" i="14"/>
  <c r="F26" i="14"/>
  <c r="J26" i="14"/>
  <c r="I27" i="14"/>
  <c r="J27" i="14" s="1"/>
  <c r="C27" i="14"/>
  <c r="D27" i="14"/>
  <c r="F27" i="14"/>
  <c r="H27" i="14"/>
  <c r="I28" i="14"/>
  <c r="C28" i="14"/>
  <c r="D28" i="14"/>
  <c r="F28" i="14"/>
  <c r="J28" i="14"/>
  <c r="I29" i="14"/>
  <c r="C29" i="14"/>
  <c r="D29" i="14"/>
  <c r="F29" i="14"/>
  <c r="J29" i="14"/>
  <c r="I30" i="14"/>
  <c r="J30" i="14" s="1"/>
  <c r="C30" i="14"/>
  <c r="D30" i="14"/>
  <c r="F30" i="14"/>
  <c r="L8" i="15"/>
  <c r="B8" i="15"/>
  <c r="L9" i="15"/>
  <c r="L10" i="15"/>
  <c r="L11" i="15"/>
  <c r="L12" i="15"/>
  <c r="L13" i="15"/>
  <c r="L14" i="15"/>
  <c r="L15" i="15"/>
  <c r="L16" i="15"/>
  <c r="L17" i="15"/>
  <c r="L18" i="15"/>
  <c r="L19" i="15"/>
  <c r="L20" i="15"/>
  <c r="L21" i="15"/>
  <c r="L22" i="15"/>
  <c r="L23" i="15"/>
  <c r="L24" i="15"/>
  <c r="L25" i="15"/>
  <c r="L26" i="15"/>
  <c r="L27" i="15"/>
  <c r="L28" i="15"/>
  <c r="L29" i="15"/>
  <c r="L30" i="15"/>
  <c r="L31" i="15"/>
  <c r="L32" i="15"/>
  <c r="D21" i="21"/>
  <c r="K26" i="21" s="1"/>
  <c r="K27" i="21" s="1"/>
  <c r="K29" i="21" s="1"/>
  <c r="N7" i="21"/>
  <c r="L8" i="21"/>
  <c r="N8" i="21"/>
  <c r="N9" i="21"/>
  <c r="L10" i="21"/>
  <c r="N10" i="21"/>
  <c r="N11" i="21"/>
  <c r="L12" i="21"/>
  <c r="N12" i="21"/>
  <c r="L13" i="21"/>
  <c r="N13" i="21"/>
  <c r="N14" i="21"/>
  <c r="N15" i="21"/>
  <c r="F7" i="21"/>
  <c r="F8" i="21"/>
  <c r="F10" i="21"/>
  <c r="F12" i="21"/>
  <c r="F13" i="21"/>
  <c r="E11" i="21"/>
  <c r="B28" i="2"/>
  <c r="B27" i="2"/>
  <c r="B26" i="2"/>
  <c r="B25" i="2"/>
  <c r="B24" i="2"/>
  <c r="B23" i="2"/>
  <c r="B22" i="2"/>
  <c r="B21" i="2"/>
  <c r="B20" i="2"/>
  <c r="B19" i="2"/>
  <c r="B18" i="2"/>
  <c r="B17" i="2"/>
  <c r="B16" i="2"/>
  <c r="B15" i="2"/>
  <c r="B14" i="2"/>
  <c r="B13" i="2"/>
  <c r="B12" i="2"/>
  <c r="B11" i="2"/>
  <c r="B10" i="2"/>
  <c r="B9" i="2"/>
  <c r="B8" i="2"/>
  <c r="B7" i="2"/>
  <c r="B6" i="2"/>
  <c r="B5" i="2"/>
  <c r="B4" i="2"/>
  <c r="J9" i="18" l="1"/>
  <c r="F10" i="18"/>
  <c r="G10" i="18"/>
  <c r="C11" i="18"/>
  <c r="F11" i="18" s="1"/>
  <c r="G9" i="18"/>
  <c r="F9" i="18"/>
  <c r="M9" i="18" s="1"/>
  <c r="B4" i="19" s="1"/>
  <c r="E9" i="18"/>
  <c r="E10" i="18" s="1"/>
  <c r="F10" i="15"/>
  <c r="G10" i="15"/>
  <c r="C11" i="15"/>
  <c r="G9" i="15"/>
  <c r="M9" i="15" s="1"/>
  <c r="J10" i="15"/>
  <c r="E9" i="15"/>
  <c r="E10" i="15" s="1"/>
  <c r="C12" i="18"/>
  <c r="G11" i="18"/>
  <c r="M8" i="18"/>
  <c r="B3" i="19" s="1"/>
  <c r="C12" i="15"/>
  <c r="M8" i="15"/>
  <c r="B5" i="16" s="1"/>
  <c r="J19" i="14"/>
  <c r="J32" i="14"/>
  <c r="I10" i="15"/>
  <c r="I11" i="15" s="1"/>
  <c r="I12" i="15" s="1"/>
  <c r="I13" i="15" s="1"/>
  <c r="I14" i="15" s="1"/>
  <c r="I15" i="15" s="1"/>
  <c r="I16" i="15" s="1"/>
  <c r="I17" i="15" s="1"/>
  <c r="I18" i="15" s="1"/>
  <c r="I19" i="15" s="1"/>
  <c r="I20" i="15" s="1"/>
  <c r="I21" i="15" s="1"/>
  <c r="I22" i="15" s="1"/>
  <c r="I23" i="15" s="1"/>
  <c r="I24" i="15" s="1"/>
  <c r="I25" i="15" s="1"/>
  <c r="I26" i="15" s="1"/>
  <c r="I27" i="15" s="1"/>
  <c r="I28" i="15" s="1"/>
  <c r="I29" i="15" s="1"/>
  <c r="I30" i="15" s="1"/>
  <c r="I31" i="15" s="1"/>
  <c r="I32" i="15" s="1"/>
  <c r="K10" i="18" l="1"/>
  <c r="D10" i="18" s="1"/>
  <c r="J11" i="18" s="1"/>
  <c r="K10" i="15"/>
  <c r="D10" i="15" s="1"/>
  <c r="J11" i="15" s="1"/>
  <c r="G11" i="15"/>
  <c r="F11" i="15"/>
  <c r="C13" i="18"/>
  <c r="F12" i="18"/>
  <c r="G12" i="18"/>
  <c r="K11" i="18"/>
  <c r="E11" i="18"/>
  <c r="C5" i="16"/>
  <c r="C6" i="16" s="1"/>
  <c r="E11" i="15"/>
  <c r="K11" i="15"/>
  <c r="D11" i="15" s="1"/>
  <c r="J12" i="15" s="1"/>
  <c r="B6" i="16"/>
  <c r="C13" i="15"/>
  <c r="F12" i="15"/>
  <c r="G12" i="15"/>
  <c r="M10" i="15"/>
  <c r="M10" i="18" l="1"/>
  <c r="B5" i="19" s="1"/>
  <c r="B7" i="16"/>
  <c r="F13" i="18"/>
  <c r="G13" i="18"/>
  <c r="C14" i="18"/>
  <c r="K12" i="18"/>
  <c r="E12" i="18"/>
  <c r="D11" i="18"/>
  <c r="J12" i="18" s="1"/>
  <c r="M11" i="18"/>
  <c r="B6" i="19" s="1"/>
  <c r="M11" i="15"/>
  <c r="B8" i="16" s="1"/>
  <c r="F13" i="15"/>
  <c r="G13" i="15"/>
  <c r="C14" i="15"/>
  <c r="K12" i="15"/>
  <c r="D12" i="15" s="1"/>
  <c r="J13" i="15" s="1"/>
  <c r="E12" i="15"/>
  <c r="C7" i="16" l="1"/>
  <c r="M12" i="18"/>
  <c r="B7" i="19" s="1"/>
  <c r="B9" i="16"/>
  <c r="M12" i="15"/>
  <c r="E13" i="18"/>
  <c r="K13" i="18"/>
  <c r="C8" i="16"/>
  <c r="D12" i="18"/>
  <c r="J13" i="18" s="1"/>
  <c r="G14" i="18"/>
  <c r="C15" i="18"/>
  <c r="F14" i="18"/>
  <c r="E13" i="15"/>
  <c r="K13" i="15"/>
  <c r="D13" i="15" s="1"/>
  <c r="J14" i="15" s="1"/>
  <c r="G14" i="15"/>
  <c r="F14" i="15"/>
  <c r="C15" i="15"/>
  <c r="C9" i="16" l="1"/>
  <c r="Q9" i="16" s="1"/>
  <c r="D13" i="18"/>
  <c r="J14" i="18" s="1"/>
  <c r="K14" i="18"/>
  <c r="E14" i="18"/>
  <c r="C16" i="18"/>
  <c r="G15" i="18"/>
  <c r="F15" i="18"/>
  <c r="M13" i="18"/>
  <c r="K14" i="15"/>
  <c r="D14" i="15" s="1"/>
  <c r="J15" i="15" s="1"/>
  <c r="E14" i="15"/>
  <c r="C16" i="15"/>
  <c r="F15" i="15"/>
  <c r="G15" i="15"/>
  <c r="M13" i="15"/>
  <c r="B10" i="16" s="1"/>
  <c r="D14" i="18" l="1"/>
  <c r="J15" i="18" s="1"/>
  <c r="M14" i="18"/>
  <c r="B9" i="19" s="1"/>
  <c r="B8" i="19"/>
  <c r="C10" i="16"/>
  <c r="C11" i="16" s="1"/>
  <c r="F16" i="18"/>
  <c r="G16" i="18"/>
  <c r="C17" i="18"/>
  <c r="E15" i="18"/>
  <c r="K15" i="18"/>
  <c r="D15" i="18" s="1"/>
  <c r="J16" i="18" s="1"/>
  <c r="E15" i="15"/>
  <c r="K15" i="15"/>
  <c r="D15" i="15" s="1"/>
  <c r="J16" i="15" s="1"/>
  <c r="M14" i="15"/>
  <c r="B11" i="16"/>
  <c r="F16" i="15"/>
  <c r="G16" i="15"/>
  <c r="C17" i="15"/>
  <c r="M15" i="18" l="1"/>
  <c r="B10" i="19" s="1"/>
  <c r="F17" i="18"/>
  <c r="G17" i="18"/>
  <c r="C18" i="18"/>
  <c r="E16" i="18"/>
  <c r="K16" i="18"/>
  <c r="D16" i="18" s="1"/>
  <c r="J17" i="18" s="1"/>
  <c r="E16" i="15"/>
  <c r="K16" i="15"/>
  <c r="D16" i="15" s="1"/>
  <c r="J17" i="15" s="1"/>
  <c r="G17" i="15"/>
  <c r="C18" i="15"/>
  <c r="F17" i="15"/>
  <c r="M15" i="15"/>
  <c r="B12" i="16" s="1"/>
  <c r="M16" i="18" l="1"/>
  <c r="B11" i="19" s="1"/>
  <c r="C12" i="16"/>
  <c r="C13" i="16" s="1"/>
  <c r="K17" i="18"/>
  <c r="D17" i="18" s="1"/>
  <c r="J18" i="18" s="1"/>
  <c r="E17" i="18"/>
  <c r="F18" i="18"/>
  <c r="G18" i="18"/>
  <c r="C19" i="18"/>
  <c r="F18" i="15"/>
  <c r="G18" i="15"/>
  <c r="C19" i="15"/>
  <c r="K17" i="15"/>
  <c r="D17" i="15" s="1"/>
  <c r="J18" i="15" s="1"/>
  <c r="E17" i="15"/>
  <c r="M16" i="15"/>
  <c r="B13" i="16" s="1"/>
  <c r="M17" i="18" l="1"/>
  <c r="B12" i="19" s="1"/>
  <c r="F19" i="18"/>
  <c r="G19" i="18"/>
  <c r="C20" i="18"/>
  <c r="K18" i="18"/>
  <c r="D18" i="18" s="1"/>
  <c r="J19" i="18" s="1"/>
  <c r="E18" i="18"/>
  <c r="E18" i="15"/>
  <c r="K18" i="15"/>
  <c r="D18" i="15" s="1"/>
  <c r="J19" i="15" s="1"/>
  <c r="F19" i="15"/>
  <c r="G19" i="15"/>
  <c r="C20" i="15"/>
  <c r="M17" i="15"/>
  <c r="B14" i="16" s="1"/>
  <c r="C14" i="16" l="1"/>
  <c r="Q11" i="16" s="1"/>
  <c r="K19" i="18"/>
  <c r="D19" i="18" s="1"/>
  <c r="J20" i="18" s="1"/>
  <c r="E19" i="18"/>
  <c r="M18" i="18"/>
  <c r="C21" i="18"/>
  <c r="F20" i="18"/>
  <c r="G20" i="18"/>
  <c r="C21" i="15"/>
  <c r="F20" i="15"/>
  <c r="G20" i="15"/>
  <c r="K19" i="15"/>
  <c r="D19" i="15" s="1"/>
  <c r="J20" i="15" s="1"/>
  <c r="E19" i="15"/>
  <c r="M18" i="15"/>
  <c r="B15" i="16" s="1"/>
  <c r="M19" i="18" l="1"/>
  <c r="B14" i="19" s="1"/>
  <c r="F21" i="18"/>
  <c r="G21" i="18"/>
  <c r="C22" i="18"/>
  <c r="B13" i="19"/>
  <c r="C15" i="16"/>
  <c r="C16" i="16" s="1"/>
  <c r="K20" i="18"/>
  <c r="E20" i="18"/>
  <c r="K20" i="15"/>
  <c r="D20" i="15" s="1"/>
  <c r="J21" i="15" s="1"/>
  <c r="E20" i="15"/>
  <c r="F21" i="15"/>
  <c r="G21" i="15"/>
  <c r="C22" i="15"/>
  <c r="M19" i="15"/>
  <c r="D20" i="18" l="1"/>
  <c r="J21" i="18" s="1"/>
  <c r="M20" i="18"/>
  <c r="B15" i="19" s="1"/>
  <c r="E21" i="18"/>
  <c r="K21" i="18"/>
  <c r="D21" i="18" s="1"/>
  <c r="J22" i="18" s="1"/>
  <c r="G22" i="18"/>
  <c r="C23" i="18"/>
  <c r="F22" i="18"/>
  <c r="G22" i="15"/>
  <c r="C23" i="15"/>
  <c r="F22" i="15"/>
  <c r="E21" i="15"/>
  <c r="K21" i="15"/>
  <c r="D21" i="15" s="1"/>
  <c r="J22" i="15" s="1"/>
  <c r="M20" i="15"/>
  <c r="B16" i="16"/>
  <c r="M21" i="15" l="1"/>
  <c r="C17" i="16"/>
  <c r="C24" i="18"/>
  <c r="F23" i="18"/>
  <c r="G23" i="18"/>
  <c r="K22" i="18"/>
  <c r="D22" i="18" s="1"/>
  <c r="J23" i="18" s="1"/>
  <c r="E22" i="18"/>
  <c r="M21" i="18"/>
  <c r="B16" i="19" s="1"/>
  <c r="E22" i="15"/>
  <c r="K22" i="15"/>
  <c r="C24" i="15"/>
  <c r="F23" i="15"/>
  <c r="G23" i="15"/>
  <c r="B17" i="16"/>
  <c r="B18" i="16" l="1"/>
  <c r="D22" i="15"/>
  <c r="J23" i="15" s="1"/>
  <c r="M22" i="15"/>
  <c r="B19" i="16" s="1"/>
  <c r="E23" i="18"/>
  <c r="K23" i="18"/>
  <c r="D23" i="18" s="1"/>
  <c r="J24" i="18" s="1"/>
  <c r="F24" i="18"/>
  <c r="C25" i="18"/>
  <c r="G24" i="18"/>
  <c r="C18" i="16"/>
  <c r="M22" i="18"/>
  <c r="B17" i="19" s="1"/>
  <c r="F24" i="15"/>
  <c r="G24" i="15"/>
  <c r="C25" i="15"/>
  <c r="K23" i="15"/>
  <c r="D23" i="15" s="1"/>
  <c r="J24" i="15" s="1"/>
  <c r="E23" i="15"/>
  <c r="C19" i="16" l="1"/>
  <c r="C26" i="18"/>
  <c r="F25" i="18"/>
  <c r="G25" i="18"/>
  <c r="E24" i="18"/>
  <c r="K24" i="18"/>
  <c r="D24" i="18" s="1"/>
  <c r="J25" i="18" s="1"/>
  <c r="M23" i="18"/>
  <c r="B18" i="19" s="1"/>
  <c r="E24" i="15"/>
  <c r="K24" i="15"/>
  <c r="D24" i="15" s="1"/>
  <c r="J25" i="15" s="1"/>
  <c r="M23" i="15"/>
  <c r="B20" i="16" s="1"/>
  <c r="C26" i="15"/>
  <c r="F25" i="15"/>
  <c r="G25" i="15"/>
  <c r="M24" i="15" l="1"/>
  <c r="B21" i="16" s="1"/>
  <c r="K25" i="18"/>
  <c r="D25" i="18" s="1"/>
  <c r="J26" i="18" s="1"/>
  <c r="E25" i="18"/>
  <c r="F26" i="18"/>
  <c r="C27" i="18"/>
  <c r="G26" i="18"/>
  <c r="C20" i="16"/>
  <c r="M24" i="18"/>
  <c r="B19" i="19" s="1"/>
  <c r="C27" i="15"/>
  <c r="F26" i="15"/>
  <c r="G26" i="15"/>
  <c r="K25" i="15"/>
  <c r="D25" i="15" s="1"/>
  <c r="J26" i="15" s="1"/>
  <c r="E25" i="15"/>
  <c r="C21" i="16" l="1"/>
  <c r="F27" i="18"/>
  <c r="G27" i="18"/>
  <c r="C28" i="18"/>
  <c r="E26" i="18"/>
  <c r="K26" i="18"/>
  <c r="D26" i="18" s="1"/>
  <c r="J27" i="18" s="1"/>
  <c r="M25" i="18"/>
  <c r="B20" i="19" s="1"/>
  <c r="K26" i="15"/>
  <c r="D26" i="15" s="1"/>
  <c r="J27" i="15" s="1"/>
  <c r="E26" i="15"/>
  <c r="F27" i="15"/>
  <c r="G27" i="15"/>
  <c r="C28" i="15"/>
  <c r="M25" i="15"/>
  <c r="B22" i="16" s="1"/>
  <c r="M26" i="15" l="1"/>
  <c r="B23" i="16" s="1"/>
  <c r="K27" i="18"/>
  <c r="D27" i="18" s="1"/>
  <c r="J28" i="18" s="1"/>
  <c r="E27" i="18"/>
  <c r="C29" i="18"/>
  <c r="F28" i="18"/>
  <c r="G28" i="18"/>
  <c r="C22" i="16"/>
  <c r="M26" i="18"/>
  <c r="B21" i="19" s="1"/>
  <c r="K27" i="15"/>
  <c r="D27" i="15" s="1"/>
  <c r="J28" i="15" s="1"/>
  <c r="E27" i="15"/>
  <c r="F28" i="15"/>
  <c r="G28" i="15"/>
  <c r="C29" i="15"/>
  <c r="M27" i="15" l="1"/>
  <c r="B24" i="16" s="1"/>
  <c r="C23" i="16"/>
  <c r="G29" i="18"/>
  <c r="C30" i="18"/>
  <c r="F29" i="18"/>
  <c r="K28" i="18"/>
  <c r="D28" i="18" s="1"/>
  <c r="J29" i="18" s="1"/>
  <c r="E28" i="18"/>
  <c r="M27" i="18"/>
  <c r="B22" i="19" s="1"/>
  <c r="F29" i="15"/>
  <c r="C30" i="15"/>
  <c r="G29" i="15"/>
  <c r="K28" i="15"/>
  <c r="E28" i="15"/>
  <c r="M28" i="15"/>
  <c r="B25" i="16" l="1"/>
  <c r="G30" i="18"/>
  <c r="C31" i="18"/>
  <c r="F30" i="18"/>
  <c r="E29" i="18"/>
  <c r="K29" i="18"/>
  <c r="D29" i="18" s="1"/>
  <c r="J30" i="18" s="1"/>
  <c r="C24" i="16"/>
  <c r="M28" i="18"/>
  <c r="B23" i="19" s="1"/>
  <c r="K29" i="15"/>
  <c r="E29" i="15"/>
  <c r="D28" i="15"/>
  <c r="J29" i="15" s="1"/>
  <c r="C31" i="15"/>
  <c r="F30" i="15"/>
  <c r="G30" i="15"/>
  <c r="M29" i="15" l="1"/>
  <c r="B26" i="16" s="1"/>
  <c r="C25" i="16"/>
  <c r="C32" i="18"/>
  <c r="G31" i="18"/>
  <c r="F31" i="18"/>
  <c r="M29" i="18"/>
  <c r="E30" i="18"/>
  <c r="K30" i="18"/>
  <c r="D30" i="18" s="1"/>
  <c r="J31" i="18" s="1"/>
  <c r="E30" i="15"/>
  <c r="K30" i="15"/>
  <c r="G31" i="15"/>
  <c r="C32" i="15"/>
  <c r="F31" i="15"/>
  <c r="D29" i="15"/>
  <c r="J30" i="15" s="1"/>
  <c r="M30" i="15" l="1"/>
  <c r="B27" i="16" s="1"/>
  <c r="B24" i="19"/>
  <c r="E31" i="18"/>
  <c r="K31" i="18"/>
  <c r="D31" i="18" s="1"/>
  <c r="J32" i="18" s="1"/>
  <c r="F32" i="18"/>
  <c r="G32" i="18"/>
  <c r="C26" i="16"/>
  <c r="M30" i="18"/>
  <c r="B25" i="19" s="1"/>
  <c r="D30" i="15"/>
  <c r="J31" i="15" s="1"/>
  <c r="F32" i="15"/>
  <c r="G32" i="15"/>
  <c r="K31" i="15"/>
  <c r="E31" i="15"/>
  <c r="D31" i="15" l="1"/>
  <c r="J32" i="15" s="1"/>
  <c r="C27" i="16"/>
  <c r="E32" i="18"/>
  <c r="K32" i="18"/>
  <c r="D32" i="18" s="1"/>
  <c r="M31" i="18"/>
  <c r="K32" i="15"/>
  <c r="E32" i="15"/>
  <c r="M31" i="15"/>
  <c r="B28" i="16" s="1"/>
  <c r="M32" i="18" l="1"/>
  <c r="B27" i="19" s="1"/>
  <c r="D32" i="15"/>
  <c r="M32" i="15"/>
  <c r="B29" i="16" s="1"/>
  <c r="B26" i="19"/>
  <c r="C28" i="16"/>
  <c r="C29" i="16" s="1"/>
  <c r="M34" i="18" l="1"/>
  <c r="B29" i="19"/>
  <c r="M34" i="15"/>
  <c r="Q13"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Fischmann</author>
  </authors>
  <commentList>
    <comment ref="D18" authorId="0" shapeId="0" xr:uid="{4F58CBA5-8D10-42C3-9E0D-FA0642A8D109}">
      <text>
        <r>
          <rPr>
            <b/>
            <sz val="10"/>
            <color indexed="81"/>
            <rFont val="Calibri"/>
            <family val="2"/>
          </rPr>
          <t>Felipe Fischmann:</t>
        </r>
        <r>
          <rPr>
            <sz val="10"/>
            <color indexed="81"/>
            <rFont val="Calibri"/>
            <family val="2"/>
          </rPr>
          <t xml:space="preserve">
If there was a replacement in a given year, reset the cumulative hour count to the sme count as the replacement count (for the new pump)</t>
        </r>
      </text>
    </comment>
    <comment ref="E18" authorId="0" shapeId="0" xr:uid="{E446D82E-17E2-4908-A85E-3FCAA5B15409}">
      <text>
        <r>
          <rPr>
            <b/>
            <sz val="10"/>
            <color indexed="81"/>
            <rFont val="Calibri"/>
            <family val="2"/>
          </rPr>
          <t>Felipe Fischmann:</t>
        </r>
        <r>
          <rPr>
            <sz val="10"/>
            <color indexed="81"/>
            <rFont val="Calibri"/>
            <family val="2"/>
          </rPr>
          <t xml:space="preserve">
Starts from zero after  35000 hours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Felipe Fischmann</author>
  </authors>
  <commentList>
    <comment ref="D18" authorId="0" shapeId="0" xr:uid="{F4859852-29C5-462A-9FC4-9520FCA9B157}">
      <text>
        <r>
          <rPr>
            <b/>
            <sz val="10"/>
            <color indexed="81"/>
            <rFont val="Calibri"/>
            <family val="2"/>
          </rPr>
          <t>Felipe Fischmann:</t>
        </r>
        <r>
          <rPr>
            <sz val="10"/>
            <color indexed="81"/>
            <rFont val="Calibri"/>
            <family val="2"/>
          </rPr>
          <t xml:space="preserve">
If there was a replacement in a given year, reset the cumulative hour count to the sme count as the replacement count (for the new pump)</t>
        </r>
      </text>
    </comment>
    <comment ref="E18" authorId="0" shapeId="0" xr:uid="{DC80EEDF-9479-4D0D-B9B5-5A0D61D1C02D}">
      <text>
        <r>
          <rPr>
            <b/>
            <sz val="10"/>
            <color indexed="81"/>
            <rFont val="Calibri"/>
            <family val="2"/>
          </rPr>
          <t>Felipe Fischmann:</t>
        </r>
        <r>
          <rPr>
            <sz val="10"/>
            <color indexed="81"/>
            <rFont val="Calibri"/>
            <family val="2"/>
          </rPr>
          <t xml:space="preserve">
Starts from zero after  35000 hours</t>
        </r>
      </text>
    </comment>
  </commentList>
</comments>
</file>

<file path=xl/sharedStrings.xml><?xml version="1.0" encoding="utf-8"?>
<sst xmlns="http://schemas.openxmlformats.org/spreadsheetml/2006/main" count="211" uniqueCount="130">
  <si>
    <t>Genset Fuel Consumption chart</t>
  </si>
  <si>
    <t>Generator</t>
  </si>
  <si>
    <t>Liter/hour</t>
  </si>
  <si>
    <t>kVA</t>
  </si>
  <si>
    <t>kW</t>
  </si>
  <si>
    <t>Load 25%</t>
  </si>
  <si>
    <t>Load 50%</t>
  </si>
  <si>
    <t>Load 75%</t>
  </si>
  <si>
    <t>Load 100%</t>
  </si>
  <si>
    <t>General Reference for Maintenance of Gensets</t>
  </si>
  <si>
    <t>Genset Maintenance</t>
  </si>
  <si>
    <t>Good Quality Engine</t>
  </si>
  <si>
    <t>Low Quality Engine</t>
  </si>
  <si>
    <t>Maintenance and Replacement</t>
  </si>
  <si>
    <t>Frequency of change (h)</t>
  </si>
  <si>
    <t>Frequency (hours)</t>
  </si>
  <si>
    <t>Minor Service</t>
  </si>
  <si>
    <t>Major Service</t>
  </si>
  <si>
    <t>Overhaul</t>
  </si>
  <si>
    <t>30% of new</t>
  </si>
  <si>
    <t>60% of new</t>
  </si>
  <si>
    <t>Replacement</t>
  </si>
  <si>
    <t>See 'Cost of New Gensets'</t>
  </si>
  <si>
    <t>Year</t>
  </si>
  <si>
    <t>Capital Cost</t>
  </si>
  <si>
    <t>Fuel Consumption (l/h)</t>
  </si>
  <si>
    <t>Cost of fuel</t>
  </si>
  <si>
    <t>TOTAL COST</t>
  </si>
  <si>
    <t>_</t>
  </si>
  <si>
    <t>Cleaning</t>
  </si>
  <si>
    <t>Cumulative Cost</t>
  </si>
  <si>
    <t>Generator Working time (hours/year)</t>
  </si>
  <si>
    <t>New genset every 35,000h</t>
  </si>
  <si>
    <t>30% genset cost every 10,000h</t>
  </si>
  <si>
    <t>Price (USD)</t>
  </si>
  <si>
    <t>20 USD every 250h</t>
  </si>
  <si>
    <t>180 USD  every 1000h</t>
  </si>
  <si>
    <t>Cost of 1 L of fuel (USD)</t>
  </si>
  <si>
    <t>Cost of Invertor (USD)</t>
  </si>
  <si>
    <t xml:space="preserve">Preventive and Minor Service and </t>
  </si>
  <si>
    <t>Diesel Genset (Indicate Brand)</t>
  </si>
  <si>
    <t>Cumulative hours for overhaul</t>
  </si>
  <si>
    <t>Cumulative hours for replacement</t>
  </si>
  <si>
    <t>0 (Capital costs)</t>
  </si>
  <si>
    <t>Hybrid (Solar+Generator)</t>
  </si>
  <si>
    <t>Hybrid (Solar + Generator) Present Worth (USD)</t>
  </si>
  <si>
    <t>How to use this tool</t>
  </si>
  <si>
    <r>
      <rPr>
        <b/>
        <sz val="11"/>
        <color theme="1"/>
        <rFont val="Arial"/>
        <family val="2"/>
      </rPr>
      <t>Introduction:</t>
    </r>
    <r>
      <rPr>
        <sz val="11"/>
        <color theme="1"/>
        <rFont val="Arial"/>
        <family val="2"/>
      </rPr>
      <t xml:space="preserve"> This tool is intended to be used in order to compare the costs of buying, running and servicing a water scheme with a diesel generator vs an equivalent stand alone solar pumping solution.</t>
    </r>
  </si>
  <si>
    <t>Costs are estimated for a period of 25 years (lifespan of solar panels, the longest of all components).</t>
  </si>
  <si>
    <t>Costs that are common for both systems (e.g. salary of a guard for the water scheme) have been taken out, since they would have no impact in the cost comparision analysis.</t>
  </si>
  <si>
    <t>Costs are calculated including pumping equipemnt (pump, genertor, solar panels, invertor and accessories). By adding additional columns, other costs could be included in the analysis if necessary.</t>
  </si>
  <si>
    <t>Before proceeding to use the tool, read the Word document 'Technical Briefing - Ecoonomic Assessment', where principles of Net Present Value analysis are explained.</t>
  </si>
  <si>
    <t>Tab 1: 'Reference Costs for Generators'</t>
  </si>
  <si>
    <t>Costs of Generators for Juba (South Sudan) are given on table on the left. Get prices of generators for your particular country/ location</t>
  </si>
  <si>
    <t xml:space="preserve">Cost of Generator servicing is given on table on the right. Different servicing costs are given depending on the working hours of the generator and the quality of brand (high or low). </t>
  </si>
  <si>
    <t>Thee prices are used in the cost calculation under tab 'Generator System'. Use these prices as a reference, unless you have a more accurate information on the costs for mainting a generator in your location.</t>
  </si>
  <si>
    <t>Tab 2: 'Generator Fuel Consumption'</t>
  </si>
  <si>
    <t>This table is a refernce for fuel consumption. Iedally your generator should be sized to work at 75% of its load and so you should use fuel consumption data from the 75% column.</t>
  </si>
  <si>
    <t>If this is not the case or you have real data from the field, feel free to use the consumption you believe is closer to reality. This data will be used in tab 'Generator System'.</t>
  </si>
  <si>
    <t>Tab 3: 'Generator System'</t>
  </si>
  <si>
    <t>In this tab total costs for buying, operating, maintaing and replacing the generator will be estimated for a period of 25 years.</t>
  </si>
  <si>
    <t>Fill only the cells in yellow.</t>
  </si>
  <si>
    <t>Get discount factor for your country at http://data.worldbank.org/indicator/FR.INR.RINR?year_high_desc=false or in the Annex a of the Word document 'Technical Briefing - Economic Assessment'.</t>
  </si>
  <si>
    <t>The cost of 1L of fuel should compromise costs to buy, store and transport fuel to the water scheme site.</t>
  </si>
  <si>
    <t>Preventive and minor service (like cleaning and 1 or 2 visits of contractor technician to the field for preventive maintenance) is estimated at a flat rate of 1,500USD. Feel free to change I ncase rea ldata are avaible.</t>
  </si>
  <si>
    <t>A comparative graph is automatically generated. Get the Return on Investment (point were both lines cross) and the costs saving (difference between the 2 lines after 25 years) as main information.</t>
  </si>
  <si>
    <t>Total Costs in Present Worth (USD)</t>
  </si>
  <si>
    <t>Tab 4: 'Solar (Hybrid)'</t>
  </si>
  <si>
    <t>In this tab total costs for buying, operating, maintaing and replacing the solar pumping part of the hybrid system will be estimated for a period of 25 years.</t>
  </si>
  <si>
    <t>Cost of Solar Pumping solution should include all costs involved to buy and install the solar system (including invertor).</t>
  </si>
  <si>
    <t>Tab 7: 'Graph'</t>
  </si>
  <si>
    <t>Tab 5: 'Generator (Hybrid)'</t>
  </si>
  <si>
    <t>In this tab total costs for buying, operating, maintaing and replacing the generator pumping part of the hybrid system will be estimated for a period of 25 years.</t>
  </si>
  <si>
    <t>Normally, the only difference with Tab 3 should be the annual working hours of the generator, that will be less than in Tab 3 since the solar part of the hybrid system will take over the generator during the solar day.</t>
  </si>
  <si>
    <t xml:space="preserve">Total Cost for Hybrid </t>
  </si>
  <si>
    <t>Tab 6: 'Hybrid (Solar &amp; Generator)'</t>
  </si>
  <si>
    <t>In this Tab costs for solar and generator parts of the hybrid systems are add up.</t>
  </si>
  <si>
    <t>Tab 0: 'EXAMPLE'</t>
  </si>
  <si>
    <t>An example of a real field case with costs for generator and hybrid system components is given an worked out through Tabs 3 to 5</t>
  </si>
  <si>
    <t>DIESEL GENERATOR STAND ALONE SYSTEM</t>
  </si>
  <si>
    <t>Component</t>
  </si>
  <si>
    <t>Unit</t>
  </si>
  <si>
    <t>Qty</t>
  </si>
  <si>
    <t>Total Price (USD)</t>
  </si>
  <si>
    <t>Unit Price</t>
  </si>
  <si>
    <t>Pump</t>
  </si>
  <si>
    <t>Watt</t>
  </si>
  <si>
    <t>Inverter</t>
  </si>
  <si>
    <t>Electrical Connection Board</t>
  </si>
  <si>
    <t xml:space="preserve">Solar Modules </t>
  </si>
  <si>
    <t>Cables &amp; Low level</t>
  </si>
  <si>
    <t>m</t>
  </si>
  <si>
    <t xml:space="preserve">DC Accessories </t>
  </si>
  <si>
    <t>Transport</t>
  </si>
  <si>
    <t>km</t>
  </si>
  <si>
    <t>Installation</t>
  </si>
  <si>
    <t>Day</t>
  </si>
  <si>
    <t xml:space="preserve">Support Structure </t>
  </si>
  <si>
    <t>Total Price</t>
  </si>
  <si>
    <t>Cost of 1 liter of diesel in USD:</t>
  </si>
  <si>
    <t>Consumption of diesel (l/h)</t>
  </si>
  <si>
    <t xml:space="preserve">Running time of generator (hours/day): </t>
  </si>
  <si>
    <t>Safe Yield (m3/h):</t>
  </si>
  <si>
    <t xml:space="preserve">Running time of solar (hours/day): </t>
  </si>
  <si>
    <t>8h to 17h</t>
  </si>
  <si>
    <t>Daily water provided (m3/d):</t>
  </si>
  <si>
    <t>Daily water provided with solar (m3/h):</t>
  </si>
  <si>
    <t>Daily water provided with generator (m3/h):</t>
  </si>
  <si>
    <t>EQUIVALENT HYBRID (SOLAR+GENERATOR) SYSTEM</t>
  </si>
  <si>
    <t>Solar Pumping</t>
  </si>
  <si>
    <t>Generator Pumping</t>
  </si>
  <si>
    <t>Total Daily water provided by Hybrid system (Solar + Generator) in m3/d:</t>
  </si>
  <si>
    <t>Capital Cost of Generator (USD)</t>
  </si>
  <si>
    <t>Cost of total Generator System (including capita cost of generator, transport, installation and others)</t>
  </si>
  <si>
    <t>Cost of total generator system</t>
  </si>
  <si>
    <t>Pr Factor</t>
  </si>
  <si>
    <t>PW = Cr*Pr</t>
  </si>
  <si>
    <t>Cost of solar pumping solution (USD)</t>
  </si>
  <si>
    <t>Replacement of Invertor</t>
  </si>
  <si>
    <t>Every 7 years</t>
  </si>
  <si>
    <t>Costs saved with solar after 5 years:</t>
  </si>
  <si>
    <t>Costs saved with solar after 10 years:</t>
  </si>
  <si>
    <t>Costs saved with solar after 25 years:</t>
  </si>
  <si>
    <t>Discount factor in country Uganda</t>
  </si>
  <si>
    <t>Generator Running hours per day</t>
  </si>
  <si>
    <t>Prices (USD)</t>
  </si>
  <si>
    <t>Real interest Rate/ Discount factor (d)</t>
  </si>
  <si>
    <t>n</t>
  </si>
  <si>
    <t>Pr = 1/(1+d)^n</t>
  </si>
  <si>
    <t>Real interest rate / Discount factor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</si>
</sst>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_(* \(#,##0.00\);_(* &quot;-&quot;??_);_(@_)"/>
    <numFmt numFmtId="164" formatCode="0.0"/>
    <numFmt numFmtId="165" formatCode="[$-C0A]0"/>
    <numFmt numFmtId="166" formatCode="0.000"/>
    <numFmt numFmtId="167" formatCode="[$-C0A]General"/>
    <numFmt numFmtId="168" formatCode="#,##0.00&quot; &quot;[$€-C0A];[Red]&quot;-&quot;#,##0.00&quot; &quot;[$€-C0A]"/>
    <numFmt numFmtId="169" formatCode="&quot;$&quot;#,##0"/>
    <numFmt numFmtId="170" formatCode="#,##0.0"/>
    <numFmt numFmtId="171" formatCode="_(* #,##0_);_(* \(#,##0\);_(* &quot;-&quot;??_);_(@_)"/>
    <numFmt numFmtId="172" formatCode="[$$-409]#,##0"/>
    <numFmt numFmtId="173" formatCode="[$$-409]#,##0.00"/>
  </numFmts>
  <fonts count="29" x14ac:knownFonts="1">
    <font>
      <sz val="11"/>
      <color theme="1"/>
      <name val="Arial"/>
      <family val="2"/>
    </font>
    <font>
      <u/>
      <sz val="11"/>
      <color rgb="FF0563C1"/>
      <name val="Calibri"/>
      <family val="2"/>
    </font>
    <font>
      <sz val="11"/>
      <color rgb="FF000000"/>
      <name val="Calibri"/>
      <family val="2"/>
    </font>
    <font>
      <b/>
      <i/>
      <sz val="16"/>
      <color theme="1"/>
      <name val="Arial"/>
      <family val="2"/>
    </font>
    <font>
      <b/>
      <i/>
      <u/>
      <sz val="11"/>
      <color theme="1"/>
      <name val="Arial"/>
      <family val="2"/>
    </font>
    <font>
      <b/>
      <sz val="11"/>
      <color rgb="FF000000"/>
      <name val="Calibri"/>
      <family val="2"/>
    </font>
    <font>
      <sz val="9"/>
      <color rgb="FF000000"/>
      <name val="Calibri"/>
      <family val="2"/>
    </font>
    <font>
      <b/>
      <sz val="9"/>
      <color rgb="FF000000"/>
      <name val="Calibri"/>
      <family val="2"/>
    </font>
    <font>
      <b/>
      <u/>
      <sz val="9"/>
      <color rgb="FF000000"/>
      <name val="Calibri"/>
      <family val="2"/>
    </font>
    <font>
      <b/>
      <sz val="11"/>
      <color theme="1"/>
      <name val="Arial"/>
      <family val="2"/>
    </font>
    <font>
      <b/>
      <u/>
      <sz val="12"/>
      <color rgb="FF000000"/>
      <name val="Calibri"/>
      <family val="2"/>
    </font>
    <font>
      <b/>
      <u/>
      <sz val="10"/>
      <color theme="1"/>
      <name val="Arial"/>
      <family val="2"/>
    </font>
    <font>
      <sz val="10"/>
      <color theme="1"/>
      <name val="Arial"/>
      <family val="2"/>
    </font>
    <font>
      <b/>
      <sz val="10"/>
      <color theme="1"/>
      <name val="Arial"/>
      <family val="2"/>
    </font>
    <font>
      <sz val="11"/>
      <color rgb="FF000000"/>
      <name val="Arial"/>
      <family val="2"/>
    </font>
    <font>
      <b/>
      <sz val="12"/>
      <name val="Calibri"/>
      <family val="2"/>
      <scheme val="minor"/>
    </font>
    <font>
      <b/>
      <sz val="12"/>
      <color theme="1"/>
      <name val="Calibri"/>
      <family val="2"/>
      <scheme val="minor"/>
    </font>
    <font>
      <sz val="12"/>
      <color theme="1"/>
      <name val="Calibri"/>
      <family val="2"/>
      <scheme val="minor"/>
    </font>
    <font>
      <sz val="12"/>
      <name val="Calibri"/>
      <family val="2"/>
      <scheme val="minor"/>
    </font>
    <font>
      <b/>
      <u/>
      <sz val="14"/>
      <color rgb="FF000000"/>
      <name val="Calibri"/>
      <family val="2"/>
    </font>
    <font>
      <sz val="10"/>
      <color indexed="81"/>
      <name val="Calibri"/>
      <family val="2"/>
    </font>
    <font>
      <b/>
      <sz val="10"/>
      <color indexed="81"/>
      <name val="Calibri"/>
      <family val="2"/>
    </font>
    <font>
      <b/>
      <sz val="11"/>
      <color rgb="FFFF0000"/>
      <name val="Arial"/>
      <family val="2"/>
    </font>
    <font>
      <sz val="11"/>
      <color theme="1"/>
      <name val="Arial"/>
      <family val="2"/>
    </font>
    <font>
      <b/>
      <sz val="11"/>
      <color theme="1"/>
      <name val="Calibri"/>
      <family val="2"/>
      <scheme val="minor"/>
    </font>
    <font>
      <b/>
      <u/>
      <sz val="11"/>
      <color theme="1"/>
      <name val="Arial"/>
      <family val="2"/>
    </font>
    <font>
      <sz val="11"/>
      <name val="Calibri"/>
      <family val="2"/>
      <scheme val="minor"/>
    </font>
    <font>
      <sz val="11"/>
      <name val="Calibri"/>
      <family val="2"/>
    </font>
    <font>
      <b/>
      <sz val="11"/>
      <name val="Calibri"/>
      <family val="2"/>
    </font>
  </fonts>
  <fills count="14">
    <fill>
      <patternFill patternType="none"/>
    </fill>
    <fill>
      <patternFill patternType="gray125"/>
    </fill>
    <fill>
      <patternFill patternType="solid">
        <fgColor rgb="FFBFBFBF"/>
        <bgColor rgb="FFBFBFBF"/>
      </patternFill>
    </fill>
    <fill>
      <patternFill patternType="solid">
        <fgColor rgb="FFDEEBF7"/>
        <bgColor rgb="FFDEEBF7"/>
      </patternFill>
    </fill>
    <fill>
      <patternFill patternType="solid">
        <fgColor rgb="FFF2F2F2"/>
        <bgColor rgb="FFF2F2F2"/>
      </patternFill>
    </fill>
    <fill>
      <patternFill patternType="solid">
        <fgColor rgb="FFFFFFFF"/>
        <bgColor rgb="FFFFFFFF"/>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rgb="FFBFBFBF"/>
      </patternFill>
    </fill>
    <fill>
      <patternFill patternType="solid">
        <fgColor rgb="FFFFC000"/>
        <bgColor indexed="64"/>
      </patternFill>
    </fill>
    <fill>
      <patternFill patternType="solid">
        <fgColor theme="4" tint="0.39997558519241921"/>
        <bgColor indexed="64"/>
      </patternFill>
    </fill>
    <fill>
      <patternFill patternType="solid">
        <fgColor theme="2"/>
        <bgColor indexed="64"/>
      </patternFill>
    </fill>
    <fill>
      <patternFill patternType="solid">
        <fgColor theme="9" tint="0.399975585192419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000000"/>
      </bottom>
      <diagonal/>
    </border>
    <border>
      <left/>
      <right/>
      <top style="medium">
        <color auto="1"/>
      </top>
      <bottom style="thin">
        <color rgb="FF000000"/>
      </bottom>
      <diagonal/>
    </border>
    <border>
      <left/>
      <right style="medium">
        <color auto="1"/>
      </right>
      <top style="medium">
        <color auto="1"/>
      </top>
      <bottom style="thin">
        <color rgb="FF000000"/>
      </bottom>
      <diagonal/>
    </border>
    <border>
      <left style="medium">
        <color auto="1"/>
      </left>
      <right/>
      <top/>
      <bottom style="thin">
        <color rgb="FF000000"/>
      </bottom>
      <diagonal/>
    </border>
    <border>
      <left/>
      <right style="medium">
        <color auto="1"/>
      </right>
      <top/>
      <bottom style="thin">
        <color rgb="FF000000"/>
      </bottom>
      <diagonal/>
    </border>
    <border>
      <left style="medium">
        <color auto="1"/>
      </left>
      <right/>
      <top style="thin">
        <color rgb="FF000000"/>
      </top>
      <bottom style="thin">
        <color rgb="FF000000"/>
      </bottom>
      <diagonal/>
    </border>
    <border>
      <left/>
      <right style="medium">
        <color auto="1"/>
      </right>
      <top style="thin">
        <color rgb="FF000000"/>
      </top>
      <bottom style="thin">
        <color rgb="FF000000"/>
      </bottom>
      <diagonal/>
    </border>
    <border>
      <left style="thin">
        <color rgb="FF000000"/>
      </left>
      <right style="medium">
        <color auto="1"/>
      </right>
      <top/>
      <bottom style="thin">
        <color rgb="FF000000"/>
      </bottom>
      <diagonal/>
    </border>
    <border>
      <left style="thin">
        <color rgb="FF000000"/>
      </left>
      <right style="medium">
        <color auto="1"/>
      </right>
      <top style="thin">
        <color rgb="FF000000"/>
      </top>
      <bottom style="thin">
        <color rgb="FF000000"/>
      </bottom>
      <diagonal/>
    </border>
    <border>
      <left style="medium">
        <color auto="1"/>
      </left>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right style="thin">
        <color rgb="FF000000"/>
      </right>
      <top style="thin">
        <color rgb="FF000000"/>
      </top>
      <bottom style="medium">
        <color auto="1"/>
      </bottom>
      <diagonal/>
    </border>
    <border>
      <left style="thin">
        <color rgb="FF000000"/>
      </left>
      <right style="medium">
        <color auto="1"/>
      </right>
      <top style="thin">
        <color rgb="FF000000"/>
      </top>
      <bottom style="medium">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8">
    <xf numFmtId="0" fontId="0" fillId="0" borderId="0"/>
    <xf numFmtId="167" fontId="1" fillId="0" borderId="0"/>
    <xf numFmtId="167" fontId="2" fillId="0" borderId="0"/>
    <xf numFmtId="0" fontId="3" fillId="0" borderId="0">
      <alignment horizontal="center"/>
    </xf>
    <xf numFmtId="0" fontId="3" fillId="0" borderId="0">
      <alignment horizontal="center" textRotation="90"/>
    </xf>
    <xf numFmtId="0" fontId="4" fillId="0" borderId="0"/>
    <xf numFmtId="168" fontId="4" fillId="0" borderId="0"/>
    <xf numFmtId="43" fontId="23" fillId="0" borderId="0" applyFont="0" applyFill="0" applyBorder="0" applyAlignment="0" applyProtection="0"/>
  </cellStyleXfs>
  <cellXfs count="104">
    <xf numFmtId="0" fontId="0" fillId="0" borderId="0" xfId="0"/>
    <xf numFmtId="167" fontId="2" fillId="0" borderId="0" xfId="2" applyAlignment="1">
      <alignment horizontal="center"/>
    </xf>
    <xf numFmtId="167" fontId="5" fillId="2" borderId="3" xfId="2" applyFont="1" applyFill="1" applyBorder="1" applyAlignment="1">
      <alignment horizontal="center"/>
    </xf>
    <xf numFmtId="167" fontId="2" fillId="0" borderId="4" xfId="2" applyBorder="1" applyAlignment="1">
      <alignment horizontal="center"/>
    </xf>
    <xf numFmtId="167" fontId="2" fillId="0" borderId="3" xfId="2" applyBorder="1" applyAlignment="1">
      <alignment horizontal="center"/>
    </xf>
    <xf numFmtId="167" fontId="2" fillId="0" borderId="0" xfId="2"/>
    <xf numFmtId="167" fontId="5" fillId="2" borderId="5" xfId="2" applyFont="1" applyFill="1" applyBorder="1" applyAlignment="1">
      <alignment horizontal="center"/>
    </xf>
    <xf numFmtId="165" fontId="2" fillId="0" borderId="4" xfId="2" applyNumberFormat="1" applyBorder="1" applyAlignment="1">
      <alignment horizontal="center"/>
    </xf>
    <xf numFmtId="164" fontId="2" fillId="0" borderId="6" xfId="2" applyNumberFormat="1" applyBorder="1" applyAlignment="1">
      <alignment horizontal="center"/>
    </xf>
    <xf numFmtId="164" fontId="2" fillId="0" borderId="4" xfId="2" applyNumberFormat="1" applyBorder="1" applyAlignment="1">
      <alignment horizontal="center"/>
    </xf>
    <xf numFmtId="165" fontId="2" fillId="0" borderId="3" xfId="2" applyNumberFormat="1" applyBorder="1" applyAlignment="1">
      <alignment horizontal="center"/>
    </xf>
    <xf numFmtId="164" fontId="2" fillId="0" borderId="5" xfId="2" applyNumberFormat="1" applyBorder="1" applyAlignment="1">
      <alignment horizontal="center"/>
    </xf>
    <xf numFmtId="164" fontId="2" fillId="0" borderId="3" xfId="2" applyNumberFormat="1" applyBorder="1" applyAlignment="1">
      <alignment horizontal="center"/>
    </xf>
    <xf numFmtId="167" fontId="6" fillId="4" borderId="4" xfId="2" applyFont="1" applyFill="1" applyBorder="1" applyAlignment="1">
      <alignment horizontal="center" vertical="center" wrapText="1"/>
    </xf>
    <xf numFmtId="167" fontId="6" fillId="4" borderId="6" xfId="2" applyFont="1" applyFill="1" applyBorder="1" applyAlignment="1">
      <alignment horizontal="center" vertical="center" wrapText="1"/>
    </xf>
    <xf numFmtId="167" fontId="6" fillId="0" borderId="3" xfId="2" applyFont="1" applyBorder="1" applyAlignment="1">
      <alignment horizontal="center" vertical="center" wrapText="1"/>
    </xf>
    <xf numFmtId="167" fontId="6" fillId="0" borderId="5" xfId="2" applyFont="1" applyBorder="1" applyAlignment="1">
      <alignment horizontal="center" vertical="center" wrapText="1"/>
    </xf>
    <xf numFmtId="167" fontId="8" fillId="0" borderId="8" xfId="2" applyFont="1" applyFill="1" applyBorder="1" applyAlignment="1">
      <alignment horizontal="center"/>
    </xf>
    <xf numFmtId="0" fontId="0" fillId="7" borderId="1" xfId="0" applyFill="1" applyBorder="1" applyAlignment="1">
      <alignment horizontal="center" wrapText="1"/>
    </xf>
    <xf numFmtId="0" fontId="0" fillId="7" borderId="1" xfId="0" applyFill="1" applyBorder="1" applyAlignment="1">
      <alignment horizontal="center"/>
    </xf>
    <xf numFmtId="0" fontId="0" fillId="6" borderId="1" xfId="0" applyFill="1"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1" xfId="0" applyBorder="1" applyAlignment="1">
      <alignment horizontal="center"/>
    </xf>
    <xf numFmtId="0" fontId="9" fillId="0" borderId="1" xfId="0" applyFont="1" applyBorder="1" applyAlignment="1">
      <alignment horizontal="center"/>
    </xf>
    <xf numFmtId="3" fontId="0" fillId="0" borderId="1" xfId="0" applyNumberFormat="1" applyBorder="1" applyAlignment="1">
      <alignment horizontal="center"/>
    </xf>
    <xf numFmtId="3" fontId="0" fillId="0" borderId="0" xfId="0" applyNumberFormat="1" applyAlignment="1">
      <alignment horizontal="center"/>
    </xf>
    <xf numFmtId="0" fontId="11" fillId="0" borderId="0" xfId="0" applyFont="1"/>
    <xf numFmtId="0" fontId="12" fillId="0" borderId="0" xfId="0" applyFont="1"/>
    <xf numFmtId="0" fontId="13" fillId="7" borderId="1" xfId="0" applyFont="1" applyFill="1" applyBorder="1" applyAlignment="1">
      <alignment horizontal="center"/>
    </xf>
    <xf numFmtId="0" fontId="12" fillId="0" borderId="1" xfId="0" applyFont="1" applyBorder="1" applyAlignment="1">
      <alignment horizontal="center"/>
    </xf>
    <xf numFmtId="166" fontId="14" fillId="5" borderId="1" xfId="2" applyNumberFormat="1" applyFont="1" applyFill="1" applyBorder="1" applyAlignment="1">
      <alignment horizontal="center" vertical="center"/>
    </xf>
    <xf numFmtId="169" fontId="0" fillId="6" borderId="1" xfId="0" applyNumberFormat="1" applyFill="1" applyBorder="1" applyAlignment="1">
      <alignment horizontal="center"/>
    </xf>
    <xf numFmtId="169" fontId="0" fillId="0" borderId="1" xfId="0" applyNumberFormat="1" applyBorder="1" applyAlignment="1">
      <alignment horizontal="center"/>
    </xf>
    <xf numFmtId="169" fontId="0" fillId="0" borderId="0" xfId="0" applyNumberFormat="1" applyAlignment="1">
      <alignment horizontal="center"/>
    </xf>
    <xf numFmtId="169" fontId="9" fillId="0" borderId="1" xfId="0" applyNumberFormat="1" applyFont="1" applyBorder="1" applyAlignment="1">
      <alignment horizontal="center"/>
    </xf>
    <xf numFmtId="169" fontId="12" fillId="0" borderId="1" xfId="0" applyNumberFormat="1" applyFont="1" applyBorder="1" applyAlignment="1">
      <alignment horizontal="center"/>
    </xf>
    <xf numFmtId="170" fontId="0" fillId="6" borderId="1" xfId="0" applyNumberFormat="1" applyFill="1" applyBorder="1" applyAlignment="1">
      <alignment horizontal="center"/>
    </xf>
    <xf numFmtId="164" fontId="0" fillId="6" borderId="2" xfId="0" applyNumberFormat="1" applyFill="1" applyBorder="1" applyAlignment="1">
      <alignment horizontal="center"/>
    </xf>
    <xf numFmtId="0" fontId="15" fillId="6" borderId="9" xfId="0" applyFont="1" applyFill="1" applyBorder="1" applyAlignment="1">
      <alignment horizontal="center" vertical="center"/>
    </xf>
    <xf numFmtId="0" fontId="16" fillId="0" borderId="10" xfId="0" applyFont="1" applyBorder="1" applyAlignment="1">
      <alignment horizontal="center"/>
    </xf>
    <xf numFmtId="0" fontId="17" fillId="0" borderId="11" xfId="0" applyFont="1" applyFill="1" applyBorder="1" applyAlignment="1">
      <alignment horizontal="center"/>
    </xf>
    <xf numFmtId="0" fontId="17" fillId="0" borderId="13" xfId="0" applyFont="1" applyFill="1" applyBorder="1" applyAlignment="1">
      <alignment horizontal="center"/>
    </xf>
    <xf numFmtId="167" fontId="8" fillId="0" borderId="18" xfId="2" applyFont="1" applyFill="1" applyBorder="1" applyAlignment="1">
      <alignment horizontal="center"/>
    </xf>
    <xf numFmtId="167" fontId="8" fillId="0" borderId="19" xfId="2" applyFont="1" applyFill="1" applyBorder="1" applyAlignment="1">
      <alignment horizontal="center"/>
    </xf>
    <xf numFmtId="167" fontId="7" fillId="3" borderId="20" xfId="2" applyFont="1" applyFill="1" applyBorder="1" applyAlignment="1">
      <alignment horizontal="center" vertical="center" wrapText="1"/>
    </xf>
    <xf numFmtId="167" fontId="7" fillId="0" borderId="18" xfId="2" applyFont="1" applyBorder="1" applyAlignment="1">
      <alignment horizontal="center" vertical="center" wrapText="1"/>
    </xf>
    <xf numFmtId="167" fontId="6" fillId="4" borderId="22" xfId="2" applyFont="1" applyFill="1" applyBorder="1" applyAlignment="1">
      <alignment horizontal="center" vertical="center" wrapText="1"/>
    </xf>
    <xf numFmtId="167" fontId="7" fillId="0" borderId="20" xfId="2" applyFont="1" applyBorder="1" applyAlignment="1">
      <alignment horizontal="center" vertical="center" wrapText="1"/>
    </xf>
    <xf numFmtId="167" fontId="6" fillId="0" borderId="23" xfId="2" applyFont="1" applyBorder="1" applyAlignment="1">
      <alignment horizontal="center" vertical="center" wrapText="1"/>
    </xf>
    <xf numFmtId="167" fontId="7" fillId="0" borderId="24" xfId="2" applyFont="1" applyBorder="1" applyAlignment="1">
      <alignment horizontal="center" vertical="center" wrapText="1"/>
    </xf>
    <xf numFmtId="167" fontId="6" fillId="0" borderId="25" xfId="2" applyFont="1" applyFill="1" applyBorder="1" applyAlignment="1">
      <alignment horizontal="center" vertical="center" wrapText="1"/>
    </xf>
    <xf numFmtId="167" fontId="6" fillId="0" borderId="25" xfId="2" applyFont="1" applyBorder="1" applyAlignment="1">
      <alignment horizontal="center" vertical="center" wrapText="1"/>
    </xf>
    <xf numFmtId="167" fontId="6" fillId="0" borderId="26" xfId="2" applyFont="1" applyFill="1" applyBorder="1" applyAlignment="1">
      <alignment horizontal="center" vertical="center" wrapText="1"/>
    </xf>
    <xf numFmtId="167" fontId="6" fillId="0" borderId="27" xfId="2" applyFont="1" applyBorder="1" applyAlignment="1">
      <alignment horizontal="center" vertical="center" wrapText="1"/>
    </xf>
    <xf numFmtId="1" fontId="18" fillId="0" borderId="12" xfId="0" applyNumberFormat="1" applyFont="1" applyBorder="1" applyAlignment="1">
      <alignment horizontal="center" vertical="center"/>
    </xf>
    <xf numFmtId="1" fontId="18" fillId="0" borderId="14" xfId="0" applyNumberFormat="1" applyFont="1" applyBorder="1" applyAlignment="1">
      <alignment horizontal="center" vertical="center"/>
    </xf>
    <xf numFmtId="3" fontId="0" fillId="8" borderId="1" xfId="0" applyNumberFormat="1" applyFill="1" applyBorder="1" applyAlignment="1">
      <alignment horizontal="center"/>
    </xf>
    <xf numFmtId="0" fontId="22" fillId="0" borderId="0" xfId="0" applyFont="1"/>
    <xf numFmtId="0" fontId="9" fillId="0" borderId="0" xfId="0" applyFont="1"/>
    <xf numFmtId="167" fontId="5" fillId="9" borderId="3" xfId="2" applyFont="1" applyFill="1" applyBorder="1" applyAlignment="1">
      <alignment horizontal="center"/>
    </xf>
    <xf numFmtId="0" fontId="24" fillId="12" borderId="1" xfId="0" applyFont="1" applyFill="1" applyBorder="1" applyAlignment="1">
      <alignment horizontal="center"/>
    </xf>
    <xf numFmtId="171" fontId="26" fillId="8" borderId="28" xfId="7" applyNumberFormat="1" applyFont="1" applyFill="1" applyBorder="1"/>
    <xf numFmtId="172" fontId="0" fillId="0" borderId="1" xfId="0" applyNumberFormat="1" applyBorder="1" applyAlignment="1">
      <alignment horizontal="center"/>
    </xf>
    <xf numFmtId="173" fontId="27" fillId="6" borderId="1" xfId="0" applyNumberFormat="1" applyFont="1" applyFill="1" applyBorder="1" applyAlignment="1">
      <alignment horizontal="center" vertical="center"/>
    </xf>
    <xf numFmtId="0" fontId="27" fillId="0" borderId="1" xfId="0" applyFont="1" applyBorder="1" applyAlignment="1">
      <alignment horizontal="center" vertical="center"/>
    </xf>
    <xf numFmtId="171" fontId="26" fillId="8" borderId="29" xfId="7" applyNumberFormat="1" applyFont="1" applyFill="1" applyBorder="1"/>
    <xf numFmtId="172" fontId="24" fillId="0" borderId="1" xfId="0" applyNumberFormat="1" applyFont="1" applyBorder="1" applyAlignment="1">
      <alignment horizontal="center"/>
    </xf>
    <xf numFmtId="0" fontId="25" fillId="0" borderId="0" xfId="0" applyFont="1"/>
    <xf numFmtId="0" fontId="0" fillId="11" borderId="0" xfId="0" applyFill="1"/>
    <xf numFmtId="0" fontId="0" fillId="6" borderId="1" xfId="0" applyFill="1" applyBorder="1" applyAlignment="1">
      <alignment horizontal="left"/>
    </xf>
    <xf numFmtId="0" fontId="0" fillId="6" borderId="2" xfId="0" applyFill="1" applyBorder="1" applyAlignment="1">
      <alignment horizontal="left" wrapText="1"/>
    </xf>
    <xf numFmtId="169" fontId="0" fillId="6" borderId="2" xfId="0" applyNumberFormat="1" applyFill="1" applyBorder="1" applyAlignment="1">
      <alignment horizontal="center"/>
    </xf>
    <xf numFmtId="0" fontId="0" fillId="6" borderId="2" xfId="0" applyFill="1" applyBorder="1" applyAlignment="1">
      <alignment horizontal="left"/>
    </xf>
    <xf numFmtId="166" fontId="6" fillId="5" borderId="0" xfId="2" applyNumberFormat="1" applyFont="1" applyFill="1" applyAlignment="1">
      <alignment horizontal="center" vertical="center"/>
    </xf>
    <xf numFmtId="2" fontId="0" fillId="6" borderId="1" xfId="0" applyNumberFormat="1" applyFill="1" applyBorder="1" applyAlignment="1">
      <alignment horizontal="center"/>
    </xf>
    <xf numFmtId="0" fontId="0" fillId="6" borderId="1" xfId="0" applyFill="1" applyBorder="1" applyAlignment="1">
      <alignment horizontal="left" wrapText="1"/>
    </xf>
    <xf numFmtId="0" fontId="12" fillId="13" borderId="1" xfId="0" applyFont="1" applyFill="1" applyBorder="1" applyAlignment="1">
      <alignment horizontal="center"/>
    </xf>
    <xf numFmtId="169" fontId="12" fillId="13" borderId="1" xfId="0" applyNumberFormat="1" applyFont="1" applyFill="1" applyBorder="1" applyAlignment="1">
      <alignment horizontal="center"/>
    </xf>
    <xf numFmtId="169" fontId="0" fillId="0" borderId="0" xfId="0" applyNumberFormat="1"/>
    <xf numFmtId="169" fontId="0" fillId="8" borderId="1" xfId="0" applyNumberFormat="1" applyFill="1" applyBorder="1" applyAlignment="1">
      <alignment horizontal="center"/>
    </xf>
    <xf numFmtId="9" fontId="0" fillId="0" borderId="0" xfId="0" applyNumberFormat="1"/>
    <xf numFmtId="0" fontId="24" fillId="0" borderId="1" xfId="0" applyFont="1" applyBorder="1" applyAlignment="1">
      <alignment horizontal="right"/>
    </xf>
    <xf numFmtId="0" fontId="0" fillId="0" borderId="1" xfId="0" applyBorder="1" applyAlignment="1">
      <alignment horizontal="left"/>
    </xf>
    <xf numFmtId="0" fontId="25" fillId="10" borderId="0" xfId="0" applyFont="1" applyFill="1" applyAlignment="1">
      <alignment horizontal="center"/>
    </xf>
    <xf numFmtId="0" fontId="25" fillId="11" borderId="0" xfId="0" applyFont="1" applyFill="1" applyAlignment="1">
      <alignment horizontal="center"/>
    </xf>
    <xf numFmtId="0" fontId="24" fillId="12" borderId="1" xfId="0" applyFont="1" applyFill="1" applyBorder="1" applyAlignment="1">
      <alignment horizontal="right"/>
    </xf>
    <xf numFmtId="0" fontId="24" fillId="0" borderId="1" xfId="0" applyFont="1" applyBorder="1" applyAlignment="1">
      <alignment horizontal="center"/>
    </xf>
    <xf numFmtId="0" fontId="24" fillId="0" borderId="28" xfId="0" applyFont="1" applyBorder="1" applyAlignment="1">
      <alignment horizontal="right"/>
    </xf>
    <xf numFmtId="0" fontId="24" fillId="0" borderId="29" xfId="0" applyFont="1" applyBorder="1" applyAlignment="1">
      <alignment horizontal="right"/>
    </xf>
    <xf numFmtId="0" fontId="24" fillId="0" borderId="30" xfId="0" applyFont="1" applyBorder="1" applyAlignment="1">
      <alignment horizontal="right"/>
    </xf>
    <xf numFmtId="0" fontId="28" fillId="0" borderId="28" xfId="0" applyFont="1" applyBorder="1" applyAlignment="1">
      <alignment horizontal="right" vertical="center"/>
    </xf>
    <xf numFmtId="0" fontId="28" fillId="0" borderId="29" xfId="0" applyFont="1" applyBorder="1" applyAlignment="1">
      <alignment horizontal="right" vertical="center"/>
    </xf>
    <xf numFmtId="0" fontId="28" fillId="0" borderId="30" xfId="0" applyFont="1" applyBorder="1" applyAlignment="1">
      <alignment horizontal="right" vertical="center"/>
    </xf>
    <xf numFmtId="0" fontId="0" fillId="11" borderId="0" xfId="0" applyFill="1" applyAlignment="1">
      <alignment horizontal="left" wrapText="1"/>
    </xf>
    <xf numFmtId="167" fontId="19" fillId="0" borderId="15" xfId="2" applyFont="1" applyFill="1" applyBorder="1" applyAlignment="1">
      <alignment horizontal="center" wrapText="1"/>
    </xf>
    <xf numFmtId="167" fontId="19" fillId="0" borderId="16" xfId="2" applyFont="1" applyFill="1" applyBorder="1" applyAlignment="1">
      <alignment horizontal="center" wrapText="1"/>
    </xf>
    <xf numFmtId="167" fontId="19" fillId="0" borderId="17" xfId="2" applyFont="1" applyFill="1" applyBorder="1" applyAlignment="1">
      <alignment horizontal="center" wrapText="1"/>
    </xf>
    <xf numFmtId="167" fontId="7" fillId="3" borderId="7" xfId="2" applyFont="1" applyFill="1" applyBorder="1" applyAlignment="1">
      <alignment horizontal="center" vertical="center" wrapText="1"/>
    </xf>
    <xf numFmtId="167" fontId="7" fillId="3" borderId="5" xfId="2" applyFont="1" applyFill="1" applyBorder="1" applyAlignment="1">
      <alignment horizontal="center" vertical="center" wrapText="1"/>
    </xf>
    <xf numFmtId="167" fontId="7" fillId="3" borderId="21" xfId="2" applyFont="1" applyFill="1" applyBorder="1" applyAlignment="1">
      <alignment horizontal="center" vertical="center" wrapText="1"/>
    </xf>
    <xf numFmtId="167" fontId="10" fillId="0" borderId="8" xfId="2" applyFont="1" applyFill="1" applyBorder="1" applyAlignment="1">
      <alignment horizontal="center"/>
    </xf>
    <xf numFmtId="167" fontId="5" fillId="2" borderId="3" xfId="2" applyFont="1" applyFill="1" applyBorder="1" applyAlignment="1">
      <alignment horizontal="center"/>
    </xf>
    <xf numFmtId="167" fontId="5" fillId="2" borderId="5" xfId="2" applyFont="1" applyFill="1" applyBorder="1" applyAlignment="1">
      <alignment horizontal="center"/>
    </xf>
  </cellXfs>
  <cellStyles count="8">
    <cellStyle name="Comma" xfId="7" builtinId="3"/>
    <cellStyle name="Excel Built-in Hyperlink" xfId="1" xr:uid="{00000000-0005-0000-0000-000000000000}"/>
    <cellStyle name="Excel Built-in Normal" xfId="2" xr:uid="{00000000-0005-0000-0000-000001000000}"/>
    <cellStyle name="Heading" xfId="3" xr:uid="{00000000-0005-0000-0000-000002000000}"/>
    <cellStyle name="Heading1" xfId="4" xr:uid="{00000000-0005-0000-0000-000003000000}"/>
    <cellStyle name="Normal" xfId="0" builtinId="0" customBuiltin="1"/>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1"/>
          <c:order val="0"/>
          <c:tx>
            <c:strRef>
              <c:f>'1 Reference Cost for Generators'!$C$1</c:f>
              <c:strCache>
                <c:ptCount val="1"/>
                <c:pt idx="0">
                  <c:v>Prices (USD)</c:v>
                </c:pt>
              </c:strCache>
            </c:strRef>
          </c:tx>
          <c:spPr>
            <a:ln w="25400" cap="rnd">
              <a:noFill/>
              <a:round/>
            </a:ln>
            <a:effectLst/>
          </c:spPr>
          <c:marker>
            <c:symbol val="circle"/>
            <c:size val="5"/>
            <c:spPr>
              <a:solidFill>
                <a:schemeClr val="accent2"/>
              </a:solidFill>
              <a:ln w="9525">
                <a:solidFill>
                  <a:schemeClr val="accent2"/>
                </a:solidFill>
              </a:ln>
              <a:effectLst/>
            </c:spPr>
          </c:marker>
          <c:xVal>
            <c:numRef>
              <c:f>'1 Reference Cost for Generators'!$A$2:$A$9</c:f>
              <c:numCache>
                <c:formatCode>General</c:formatCode>
                <c:ptCount val="8"/>
                <c:pt idx="0">
                  <c:v>12.5</c:v>
                </c:pt>
                <c:pt idx="1">
                  <c:v>15</c:v>
                </c:pt>
                <c:pt idx="2">
                  <c:v>20</c:v>
                </c:pt>
                <c:pt idx="3">
                  <c:v>30</c:v>
                </c:pt>
                <c:pt idx="4">
                  <c:v>45</c:v>
                </c:pt>
                <c:pt idx="5">
                  <c:v>60</c:v>
                </c:pt>
                <c:pt idx="6">
                  <c:v>80</c:v>
                </c:pt>
                <c:pt idx="7">
                  <c:v>100</c:v>
                </c:pt>
              </c:numCache>
            </c:numRef>
          </c:xVal>
          <c:yVal>
            <c:numRef>
              <c:f>'1 Reference Cost for Generators'!$C$2:$C$9</c:f>
              <c:numCache>
                <c:formatCode>0</c:formatCode>
                <c:ptCount val="8"/>
                <c:pt idx="0">
                  <c:v>4500</c:v>
                </c:pt>
                <c:pt idx="1">
                  <c:v>6000</c:v>
                </c:pt>
                <c:pt idx="2">
                  <c:v>12000</c:v>
                </c:pt>
                <c:pt idx="3">
                  <c:v>18500</c:v>
                </c:pt>
                <c:pt idx="4">
                  <c:v>22500</c:v>
                </c:pt>
                <c:pt idx="5">
                  <c:v>30000</c:v>
                </c:pt>
                <c:pt idx="6">
                  <c:v>34000</c:v>
                </c:pt>
                <c:pt idx="7">
                  <c:v>40000</c:v>
                </c:pt>
              </c:numCache>
            </c:numRef>
          </c:yVal>
          <c:smooth val="0"/>
          <c:extLst>
            <c:ext xmlns:c16="http://schemas.microsoft.com/office/drawing/2014/chart" uri="{C3380CC4-5D6E-409C-BE32-E72D297353CC}">
              <c16:uniqueId val="{00000000-6517-469A-909D-1756BAD06224}"/>
            </c:ext>
          </c:extLst>
        </c:ser>
        <c:dLbls>
          <c:showLegendKey val="0"/>
          <c:showVal val="0"/>
          <c:showCatName val="0"/>
          <c:showSerName val="0"/>
          <c:showPercent val="0"/>
          <c:showBubbleSize val="0"/>
        </c:dLbls>
        <c:axId val="335438120"/>
        <c:axId val="335439688"/>
      </c:scatterChart>
      <c:valAx>
        <c:axId val="335438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439688"/>
        <c:crosses val="autoZero"/>
        <c:crossBetween val="midCat"/>
      </c:valAx>
      <c:valAx>
        <c:axId val="335439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54381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Generator</c:v>
          </c:tx>
          <c:cat>
            <c:strRef>
              <c:f>'7 Graph'!$A$4:$A$29</c:f>
              <c:strCache>
                <c:ptCount val="26"/>
                <c:pt idx="0">
                  <c:v>0 (Capital costs)</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strCache>
            </c:strRef>
          </c:cat>
          <c:val>
            <c:numRef>
              <c:f>'7 Graph'!$B$4:$B$29</c:f>
              <c:numCache>
                <c:formatCode>"$"#,##0</c:formatCode>
                <c:ptCount val="26"/>
                <c:pt idx="0">
                  <c:v>21128.571428571428</c:v>
                </c:pt>
                <c:pt idx="1">
                  <c:v>45313.851428571434</c:v>
                </c:pt>
                <c:pt idx="2">
                  <c:v>66907.851428571434</c:v>
                </c:pt>
                <c:pt idx="3">
                  <c:v>88460.211122448993</c:v>
                </c:pt>
                <c:pt idx="4">
                  <c:v>105674.81571428572</c:v>
                </c:pt>
                <c:pt idx="5">
                  <c:v>122856.22490902229</c:v>
                </c:pt>
                <c:pt idx="6">
                  <c:v>136579.6022940962</c:v>
                </c:pt>
                <c:pt idx="7">
                  <c:v>150276.516511839</c:v>
                </c:pt>
                <c:pt idx="8">
                  <c:v>165514.02648824255</c:v>
                </c:pt>
                <c:pt idx="9">
                  <c:v>175282.05544422744</c:v>
                </c:pt>
                <c:pt idx="10">
                  <c:v>185031.24844041144</c:v>
                </c:pt>
                <c:pt idx="11">
                  <c:v>192818.26131986367</c:v>
                </c:pt>
                <c:pt idx="12">
                  <c:v>200590.25828748484</c:v>
                </c:pt>
                <c:pt idx="13">
                  <c:v>206798.01727939511</c:v>
                </c:pt>
                <c:pt idx="14">
                  <c:v>212993.8056783278</c:v>
                </c:pt>
                <c:pt idx="15">
                  <c:v>219886.48135984203</c:v>
                </c:pt>
                <c:pt idx="16">
                  <c:v>224305.04159346985</c:v>
                </c:pt>
                <c:pt idx="17">
                  <c:v>228715.08139546163</c:v>
                </c:pt>
                <c:pt idx="18">
                  <c:v>232237.53056130014</c:v>
                </c:pt>
                <c:pt idx="19">
                  <c:v>235753.18729120429</c:v>
                </c:pt>
                <c:pt idx="20">
                  <c:v>238561.26220019543</c:v>
                </c:pt>
                <c:pt idx="21">
                  <c:v>241363.92222084606</c:v>
                </c:pt>
                <c:pt idx="22">
                  <c:v>244481.81865695069</c:v>
                </c:pt>
                <c:pt idx="23">
                  <c:v>246480.55091155105</c:v>
                </c:pt>
                <c:pt idx="24">
                  <c:v>248475.42895558651</c:v>
                </c:pt>
                <c:pt idx="25">
                  <c:v>250068.80607181764</c:v>
                </c:pt>
              </c:numCache>
            </c:numRef>
          </c:val>
          <c:smooth val="0"/>
          <c:extLst>
            <c:ext xmlns:c16="http://schemas.microsoft.com/office/drawing/2014/chart" uri="{C3380CC4-5D6E-409C-BE32-E72D297353CC}">
              <c16:uniqueId val="{00000000-6182-4BB2-B805-BC9610985E54}"/>
            </c:ext>
          </c:extLst>
        </c:ser>
        <c:ser>
          <c:idx val="1"/>
          <c:order val="1"/>
          <c:tx>
            <c:strRef>
              <c:f>'7 Graph'!$C$3</c:f>
              <c:strCache>
                <c:ptCount val="1"/>
                <c:pt idx="0">
                  <c:v>Hybrid (Solar+Generator)</c:v>
                </c:pt>
              </c:strCache>
            </c:strRef>
          </c:tx>
          <c:cat>
            <c:strRef>
              <c:f>'7 Graph'!$A$4:$A$29</c:f>
              <c:strCache>
                <c:ptCount val="26"/>
                <c:pt idx="0">
                  <c:v>0 (Capital costs)</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strCache>
            </c:strRef>
          </c:cat>
          <c:val>
            <c:numRef>
              <c:f>'7 Graph'!$C$4:$C$29</c:f>
              <c:numCache>
                <c:formatCode>"$"#,##0</c:formatCode>
                <c:ptCount val="26"/>
                <c:pt idx="0">
                  <c:v>59426.148571428566</c:v>
                </c:pt>
                <c:pt idx="1">
                  <c:v>74285.148571428566</c:v>
                </c:pt>
                <c:pt idx="2">
                  <c:v>87094.631330049247</c:v>
                </c:pt>
                <c:pt idx="3">
                  <c:v>98137.288880584325</c:v>
                </c:pt>
                <c:pt idx="4">
                  <c:v>109482.69562132811</c:v>
                </c:pt>
                <c:pt idx="5">
                  <c:v>117689.18904473408</c:v>
                </c:pt>
                <c:pt idx="6">
                  <c:v>124763.75234077372</c:v>
                </c:pt>
                <c:pt idx="7">
                  <c:v>131693.65936857837</c:v>
                </c:pt>
                <c:pt idx="8">
                  <c:v>137959.6265133243</c:v>
                </c:pt>
                <c:pt idx="9">
                  <c:v>142491.99977588607</c:v>
                </c:pt>
                <c:pt idx="10">
                  <c:v>146399.21810568072</c:v>
                </c:pt>
                <c:pt idx="11">
                  <c:v>150413.55803912019</c:v>
                </c:pt>
                <c:pt idx="12">
                  <c:v>153317.25774913406</c:v>
                </c:pt>
                <c:pt idx="13">
                  <c:v>157420.8441762749</c:v>
                </c:pt>
                <c:pt idx="14">
                  <c:v>159872.84992207467</c:v>
                </c:pt>
                <c:pt idx="15">
                  <c:v>161733.12742295483</c:v>
                </c:pt>
                <c:pt idx="16">
                  <c:v>163336.81492371359</c:v>
                </c:pt>
                <c:pt idx="17">
                  <c:v>164984.46965699591</c:v>
                </c:pt>
                <c:pt idx="18">
                  <c:v>166176.27071285111</c:v>
                </c:pt>
                <c:pt idx="19">
                  <c:v>167203.68541617456</c:v>
                </c:pt>
                <c:pt idx="20">
                  <c:v>168089.38774662581</c:v>
                </c:pt>
                <c:pt idx="21">
                  <c:v>168999.37278819826</c:v>
                </c:pt>
                <c:pt idx="22">
                  <c:v>169747.2969608822</c:v>
                </c:pt>
                <c:pt idx="23">
                  <c:v>170314.72895535926</c:v>
                </c:pt>
                <c:pt idx="24">
                  <c:v>170897.71785505049</c:v>
                </c:pt>
                <c:pt idx="25">
                  <c:v>171319.412262361</c:v>
                </c:pt>
              </c:numCache>
            </c:numRef>
          </c:val>
          <c:smooth val="0"/>
          <c:extLst>
            <c:ext xmlns:c16="http://schemas.microsoft.com/office/drawing/2014/chart" uri="{C3380CC4-5D6E-409C-BE32-E72D297353CC}">
              <c16:uniqueId val="{00000001-6182-4BB2-B805-BC9610985E54}"/>
            </c:ext>
          </c:extLst>
        </c:ser>
        <c:dLbls>
          <c:showLegendKey val="0"/>
          <c:showVal val="0"/>
          <c:showCatName val="0"/>
          <c:showSerName val="0"/>
          <c:showPercent val="0"/>
          <c:showBubbleSize val="0"/>
        </c:dLbls>
        <c:marker val="1"/>
        <c:smooth val="0"/>
        <c:axId val="335436944"/>
        <c:axId val="335440080"/>
      </c:lineChart>
      <c:catAx>
        <c:axId val="335436944"/>
        <c:scaling>
          <c:orientation val="minMax"/>
        </c:scaling>
        <c:delete val="0"/>
        <c:axPos val="b"/>
        <c:numFmt formatCode="General" sourceLinked="1"/>
        <c:majorTickMark val="out"/>
        <c:minorTickMark val="none"/>
        <c:tickLblPos val="nextTo"/>
        <c:crossAx val="335440080"/>
        <c:crosses val="autoZero"/>
        <c:auto val="1"/>
        <c:lblAlgn val="ctr"/>
        <c:lblOffset val="100"/>
        <c:noMultiLvlLbl val="0"/>
      </c:catAx>
      <c:valAx>
        <c:axId val="335440080"/>
        <c:scaling>
          <c:orientation val="minMax"/>
        </c:scaling>
        <c:delete val="0"/>
        <c:axPos val="l"/>
        <c:majorGridlines/>
        <c:numFmt formatCode="&quot;$&quot;#,##0" sourceLinked="1"/>
        <c:majorTickMark val="out"/>
        <c:minorTickMark val="none"/>
        <c:tickLblPos val="nextTo"/>
        <c:crossAx val="335436944"/>
        <c:crossesAt val="1"/>
        <c:crossBetween val="midCat"/>
      </c:valAx>
    </c:plotArea>
    <c:legend>
      <c:legendPos val="r"/>
      <c:overlay val="0"/>
    </c:legend>
    <c:plotVisOnly val="1"/>
    <c:dispBlanksAs val="gap"/>
    <c:showDLblsOverMax val="0"/>
  </c:chart>
  <c:txPr>
    <a:bodyPr/>
    <a:lstStyle/>
    <a:p>
      <a:pPr>
        <a:defRPr baseline="0"/>
      </a:pPr>
      <a:endParaRPr lang="en-US"/>
    </a:p>
  </c:txPr>
  <c:printSettings>
    <c:headerFooter/>
    <c:pageMargins b="0.750000000000001" l="0.70000000000000095" r="0.70000000000000095" t="0.750000000000001"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0</xdr:colOff>
      <xdr:row>0</xdr:row>
      <xdr:rowOff>57150</xdr:rowOff>
    </xdr:from>
    <xdr:to>
      <xdr:col>4</xdr:col>
      <xdr:colOff>419100</xdr:colOff>
      <xdr:row>3</xdr:row>
      <xdr:rowOff>146366</xdr:rowOff>
    </xdr:to>
    <xdr:pic>
      <xdr:nvPicPr>
        <xdr:cNvPr id="5" name="Picture 7">
          <a:extLst>
            <a:ext uri="{FF2B5EF4-FFF2-40B4-BE49-F238E27FC236}">
              <a16:creationId xmlns:a16="http://schemas.microsoft.com/office/drawing/2014/main" id="{3B8CB754-2A71-4E69-87D8-CEBD4BF27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0" y="57150"/>
          <a:ext cx="1079500" cy="622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464640</xdr:colOff>
      <xdr:row>0</xdr:row>
      <xdr:rowOff>69850</xdr:rowOff>
    </xdr:from>
    <xdr:to>
      <xdr:col>6</xdr:col>
      <xdr:colOff>209550</xdr:colOff>
      <xdr:row>2</xdr:row>
      <xdr:rowOff>165100</xdr:rowOff>
    </xdr:to>
    <xdr:pic>
      <xdr:nvPicPr>
        <xdr:cNvPr id="6" name="Picture 8">
          <a:extLst>
            <a:ext uri="{FF2B5EF4-FFF2-40B4-BE49-F238E27FC236}">
              <a16:creationId xmlns:a16="http://schemas.microsoft.com/office/drawing/2014/main" id="{8FD52A1D-D589-4907-B398-83F77167C0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66640" y="69850"/>
          <a:ext cx="405310" cy="45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209550</xdr:colOff>
      <xdr:row>0</xdr:row>
      <xdr:rowOff>0</xdr:rowOff>
    </xdr:from>
    <xdr:to>
      <xdr:col>9</xdr:col>
      <xdr:colOff>609600</xdr:colOff>
      <xdr:row>3</xdr:row>
      <xdr:rowOff>139700</xdr:rowOff>
    </xdr:to>
    <xdr:pic>
      <xdr:nvPicPr>
        <xdr:cNvPr id="7" name="Picture 9">
          <a:extLst>
            <a:ext uri="{FF2B5EF4-FFF2-40B4-BE49-F238E27FC236}">
              <a16:creationId xmlns:a16="http://schemas.microsoft.com/office/drawing/2014/main" id="{5B43CBC6-2D0D-409B-967F-6B605594E7A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32350" y="0"/>
          <a:ext cx="1720850" cy="67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749300</xdr:colOff>
      <xdr:row>13</xdr:row>
      <xdr:rowOff>38100</xdr:rowOff>
    </xdr:from>
    <xdr:to>
      <xdr:col>2</xdr:col>
      <xdr:colOff>1257300</xdr:colOff>
      <xdr:row>28</xdr:row>
      <xdr:rowOff>114300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409574</xdr:colOff>
      <xdr:row>2</xdr:row>
      <xdr:rowOff>85724</xdr:rowOff>
    </xdr:from>
    <xdr:to>
      <xdr:col>12</xdr:col>
      <xdr:colOff>809625</xdr:colOff>
      <xdr:row>29</xdr:row>
      <xdr:rowOff>152399</xdr:rowOff>
    </xdr:to>
    <xdr:graphicFrame macro="">
      <xdr:nvGraphicFramePr>
        <xdr:cNvPr id="2" name="1 Gráfico">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2"/>
  <sheetViews>
    <sheetView workbookViewId="0">
      <selection activeCell="A13" sqref="A13"/>
    </sheetView>
  </sheetViews>
  <sheetFormatPr defaultRowHeight="14" x14ac:dyDescent="0.3"/>
  <sheetData>
    <row r="1" spans="1:1" x14ac:dyDescent="0.3">
      <c r="A1" s="58" t="s">
        <v>46</v>
      </c>
    </row>
    <row r="2" spans="1:1" x14ac:dyDescent="0.3">
      <c r="A2" s="58"/>
    </row>
    <row r="3" spans="1:1" x14ac:dyDescent="0.3">
      <c r="A3" s="58"/>
    </row>
    <row r="5" spans="1:1" x14ac:dyDescent="0.3">
      <c r="A5" t="s">
        <v>47</v>
      </c>
    </row>
    <row r="6" spans="1:1" x14ac:dyDescent="0.3">
      <c r="A6" t="s">
        <v>48</v>
      </c>
    </row>
    <row r="7" spans="1:1" x14ac:dyDescent="0.3">
      <c r="A7" t="s">
        <v>49</v>
      </c>
    </row>
    <row r="8" spans="1:1" x14ac:dyDescent="0.3">
      <c r="A8" t="s">
        <v>50</v>
      </c>
    </row>
    <row r="9" spans="1:1" x14ac:dyDescent="0.3">
      <c r="A9" t="s">
        <v>51</v>
      </c>
    </row>
    <row r="11" spans="1:1" x14ac:dyDescent="0.3">
      <c r="A11" s="59" t="s">
        <v>77</v>
      </c>
    </row>
    <row r="12" spans="1:1" x14ac:dyDescent="0.3">
      <c r="A12" t="s">
        <v>78</v>
      </c>
    </row>
    <row r="15" spans="1:1" x14ac:dyDescent="0.3">
      <c r="A15" s="59" t="s">
        <v>52</v>
      </c>
    </row>
    <row r="16" spans="1:1" x14ac:dyDescent="0.3">
      <c r="A16" t="s">
        <v>53</v>
      </c>
    </row>
    <row r="18" spans="1:1" x14ac:dyDescent="0.3">
      <c r="A18" t="s">
        <v>54</v>
      </c>
    </row>
    <row r="19" spans="1:1" x14ac:dyDescent="0.3">
      <c r="A19" t="s">
        <v>55</v>
      </c>
    </row>
    <row r="22" spans="1:1" x14ac:dyDescent="0.3">
      <c r="A22" s="59" t="s">
        <v>56</v>
      </c>
    </row>
    <row r="23" spans="1:1" x14ac:dyDescent="0.3">
      <c r="A23" t="s">
        <v>57</v>
      </c>
    </row>
    <row r="24" spans="1:1" x14ac:dyDescent="0.3">
      <c r="A24" t="s">
        <v>58</v>
      </c>
    </row>
    <row r="27" spans="1:1" x14ac:dyDescent="0.3">
      <c r="A27" s="59" t="s">
        <v>59</v>
      </c>
    </row>
    <row r="28" spans="1:1" x14ac:dyDescent="0.3">
      <c r="A28" t="s">
        <v>60</v>
      </c>
    </row>
    <row r="29" spans="1:1" x14ac:dyDescent="0.3">
      <c r="A29" t="s">
        <v>61</v>
      </c>
    </row>
    <row r="30" spans="1:1" x14ac:dyDescent="0.3">
      <c r="A30" t="s">
        <v>62</v>
      </c>
    </row>
    <row r="31" spans="1:1" x14ac:dyDescent="0.3">
      <c r="A31" t="s">
        <v>63</v>
      </c>
    </row>
    <row r="34" spans="1:1" x14ac:dyDescent="0.3">
      <c r="A34" s="59" t="s">
        <v>67</v>
      </c>
    </row>
    <row r="35" spans="1:1" x14ac:dyDescent="0.3">
      <c r="A35" t="s">
        <v>68</v>
      </c>
    </row>
    <row r="36" spans="1:1" x14ac:dyDescent="0.3">
      <c r="A36" t="s">
        <v>61</v>
      </c>
    </row>
    <row r="37" spans="1:1" x14ac:dyDescent="0.3">
      <c r="A37" t="s">
        <v>69</v>
      </c>
    </row>
    <row r="38" spans="1:1" x14ac:dyDescent="0.3">
      <c r="A38" t="s">
        <v>64</v>
      </c>
    </row>
    <row r="41" spans="1:1" x14ac:dyDescent="0.3">
      <c r="A41" s="59" t="s">
        <v>71</v>
      </c>
    </row>
    <row r="42" spans="1:1" x14ac:dyDescent="0.3">
      <c r="A42" t="s">
        <v>72</v>
      </c>
    </row>
    <row r="43" spans="1:1" x14ac:dyDescent="0.3">
      <c r="A43" t="s">
        <v>73</v>
      </c>
    </row>
    <row r="44" spans="1:1" x14ac:dyDescent="0.3">
      <c r="A44" t="s">
        <v>61</v>
      </c>
    </row>
    <row r="47" spans="1:1" x14ac:dyDescent="0.3">
      <c r="A47" s="59" t="s">
        <v>75</v>
      </c>
    </row>
    <row r="48" spans="1:1" x14ac:dyDescent="0.3">
      <c r="A48" t="s">
        <v>76</v>
      </c>
    </row>
    <row r="51" spans="1:1" x14ac:dyDescent="0.3">
      <c r="A51" s="59" t="s">
        <v>70</v>
      </c>
    </row>
    <row r="52" spans="1:1" x14ac:dyDescent="0.3">
      <c r="A52" t="s">
        <v>65</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0716A-884D-48AB-B62E-BA70983A2915}">
  <dimension ref="A4:U29"/>
  <sheetViews>
    <sheetView topLeftCell="A10" workbookViewId="0">
      <selection activeCell="F27" sqref="F27"/>
    </sheetView>
  </sheetViews>
  <sheetFormatPr defaultRowHeight="14" x14ac:dyDescent="0.3"/>
  <cols>
    <col min="2" max="2" width="16.33203125" customWidth="1"/>
    <col min="6" max="6" width="16.5" customWidth="1"/>
    <col min="7" max="7" width="2.4140625" customWidth="1"/>
    <col min="8" max="8" width="2.5" customWidth="1"/>
    <col min="10" max="10" width="26.6640625" customWidth="1"/>
    <col min="12" max="12" width="8.58203125" customWidth="1"/>
    <col min="13" max="13" width="8.6640625" hidden="1" customWidth="1"/>
    <col min="14" max="14" width="16.1640625" style="21" customWidth="1"/>
  </cols>
  <sheetData>
    <row r="4" spans="1:21" x14ac:dyDescent="0.3">
      <c r="A4" s="84" t="s">
        <v>79</v>
      </c>
      <c r="B4" s="84"/>
      <c r="C4" s="84"/>
      <c r="D4" s="84"/>
      <c r="E4" s="84"/>
      <c r="I4" s="85" t="s">
        <v>108</v>
      </c>
      <c r="J4" s="85"/>
      <c r="K4" s="85"/>
      <c r="L4" s="85"/>
      <c r="M4" s="85"/>
      <c r="N4" s="85"/>
    </row>
    <row r="6" spans="1:21" ht="14.5" x14ac:dyDescent="0.35">
      <c r="A6" s="86" t="s">
        <v>80</v>
      </c>
      <c r="B6" s="86"/>
      <c r="C6" s="86"/>
      <c r="D6" s="61" t="s">
        <v>81</v>
      </c>
      <c r="E6" s="61" t="s">
        <v>82</v>
      </c>
      <c r="F6" s="61" t="s">
        <v>83</v>
      </c>
      <c r="I6" s="86" t="s">
        <v>80</v>
      </c>
      <c r="J6" s="86"/>
      <c r="K6" s="61" t="s">
        <v>81</v>
      </c>
      <c r="L6" s="61" t="s">
        <v>82</v>
      </c>
      <c r="M6" s="61" t="s">
        <v>84</v>
      </c>
      <c r="N6" s="61" t="s">
        <v>83</v>
      </c>
      <c r="O6" s="87"/>
      <c r="P6" s="87"/>
      <c r="Q6" s="87"/>
      <c r="R6" s="87"/>
      <c r="S6" s="87"/>
      <c r="T6" s="87"/>
      <c r="U6" s="87"/>
    </row>
    <row r="7" spans="1:21" ht="14.5" x14ac:dyDescent="0.35">
      <c r="A7" s="82" t="s">
        <v>85</v>
      </c>
      <c r="B7" s="82"/>
      <c r="C7" s="82"/>
      <c r="D7" s="23" t="s">
        <v>86</v>
      </c>
      <c r="E7" s="62">
        <v>7500</v>
      </c>
      <c r="F7" s="63">
        <f>N7</f>
        <v>4878.5714285714284</v>
      </c>
      <c r="I7" s="82" t="s">
        <v>85</v>
      </c>
      <c r="J7" s="82"/>
      <c r="K7" s="23" t="s">
        <v>86</v>
      </c>
      <c r="L7" s="62">
        <v>7500</v>
      </c>
      <c r="M7" s="64">
        <v>0.65047619047619043</v>
      </c>
      <c r="N7" s="63">
        <f>M7*L7</f>
        <v>4878.5714285714284</v>
      </c>
      <c r="O7" s="83"/>
      <c r="P7" s="83"/>
      <c r="Q7" s="83"/>
      <c r="R7" s="83"/>
      <c r="S7" s="83"/>
      <c r="T7" s="83"/>
      <c r="U7" s="83"/>
    </row>
    <row r="8" spans="1:21" ht="14.5" x14ac:dyDescent="0.35">
      <c r="A8" s="82" t="s">
        <v>1</v>
      </c>
      <c r="B8" s="82"/>
      <c r="C8" s="82"/>
      <c r="D8" s="21" t="s">
        <v>3</v>
      </c>
      <c r="E8">
        <v>20</v>
      </c>
      <c r="F8" s="63">
        <f>9500</f>
        <v>9500</v>
      </c>
      <c r="I8" s="82" t="s">
        <v>87</v>
      </c>
      <c r="J8" s="82"/>
      <c r="K8" s="23" t="s">
        <v>86</v>
      </c>
      <c r="L8" s="62">
        <f>L7</f>
        <v>7500</v>
      </c>
      <c r="M8" s="64">
        <v>0.27</v>
      </c>
      <c r="N8" s="63">
        <f t="shared" ref="N8:N14" si="0">M8*L8</f>
        <v>2025.0000000000002</v>
      </c>
      <c r="O8" s="83"/>
      <c r="P8" s="83"/>
      <c r="Q8" s="83"/>
      <c r="R8" s="83"/>
      <c r="S8" s="83"/>
      <c r="T8" s="83"/>
      <c r="U8" s="83"/>
    </row>
    <row r="9" spans="1:21" ht="14.5" x14ac:dyDescent="0.35">
      <c r="A9" s="82" t="s">
        <v>88</v>
      </c>
      <c r="B9" s="82"/>
      <c r="C9" s="82"/>
      <c r="D9" s="23" t="s">
        <v>81</v>
      </c>
      <c r="E9" s="62">
        <v>1</v>
      </c>
      <c r="F9" s="63">
        <v>1850</v>
      </c>
      <c r="I9" s="82" t="s">
        <v>89</v>
      </c>
      <c r="J9" s="82"/>
      <c r="K9" s="23" t="s">
        <v>86</v>
      </c>
      <c r="L9" s="62">
        <v>14580</v>
      </c>
      <c r="M9" s="64">
        <v>0.99206349206349198</v>
      </c>
      <c r="N9" s="63">
        <f t="shared" si="0"/>
        <v>14464.285714285714</v>
      </c>
      <c r="O9" s="83"/>
      <c r="P9" s="83"/>
      <c r="Q9" s="83"/>
      <c r="R9" s="83"/>
      <c r="S9" s="83"/>
      <c r="T9" s="83"/>
      <c r="U9" s="83"/>
    </row>
    <row r="10" spans="1:21" ht="14.5" x14ac:dyDescent="0.35">
      <c r="A10" s="88" t="s">
        <v>90</v>
      </c>
      <c r="B10" s="89"/>
      <c r="C10" s="90"/>
      <c r="D10" s="23" t="s">
        <v>91</v>
      </c>
      <c r="E10" s="62">
        <v>150</v>
      </c>
      <c r="F10" s="63">
        <f>1400</f>
        <v>1400</v>
      </c>
      <c r="I10" s="82" t="s">
        <v>92</v>
      </c>
      <c r="J10" s="82"/>
      <c r="K10" s="23" t="s">
        <v>86</v>
      </c>
      <c r="L10" s="62">
        <f>L9</f>
        <v>14580</v>
      </c>
      <c r="M10" s="64">
        <v>0.16352380952380954</v>
      </c>
      <c r="N10" s="63">
        <f t="shared" si="0"/>
        <v>2384.1771428571433</v>
      </c>
      <c r="O10" s="83"/>
      <c r="P10" s="83"/>
      <c r="Q10" s="83"/>
      <c r="R10" s="83"/>
      <c r="S10" s="83"/>
      <c r="T10" s="83"/>
      <c r="U10" s="83"/>
    </row>
    <row r="11" spans="1:21" ht="14.5" x14ac:dyDescent="0.35">
      <c r="A11" s="91" t="s">
        <v>93</v>
      </c>
      <c r="B11" s="92"/>
      <c r="C11" s="93"/>
      <c r="D11" s="65" t="s">
        <v>94</v>
      </c>
      <c r="E11" s="62">
        <f>785*2</f>
        <v>1570</v>
      </c>
      <c r="F11" s="63">
        <v>2700</v>
      </c>
      <c r="I11" s="82" t="s">
        <v>90</v>
      </c>
      <c r="J11" s="82"/>
      <c r="K11" s="23" t="s">
        <v>91</v>
      </c>
      <c r="L11" s="62">
        <v>150</v>
      </c>
      <c r="M11" s="64">
        <v>11.773809523809524</v>
      </c>
      <c r="N11" s="63">
        <f t="shared" si="0"/>
        <v>1766.0714285714287</v>
      </c>
      <c r="O11" s="83"/>
      <c r="P11" s="83"/>
      <c r="Q11" s="83"/>
      <c r="R11" s="83"/>
      <c r="S11" s="83"/>
      <c r="T11" s="83"/>
      <c r="U11" s="83"/>
    </row>
    <row r="12" spans="1:21" ht="14.5" x14ac:dyDescent="0.35">
      <c r="A12" s="91" t="s">
        <v>95</v>
      </c>
      <c r="B12" s="92"/>
      <c r="C12" s="93"/>
      <c r="D12" s="65" t="s">
        <v>96</v>
      </c>
      <c r="E12" s="66">
        <v>2</v>
      </c>
      <c r="F12" s="63">
        <f>(5600/14)*2</f>
        <v>800</v>
      </c>
      <c r="I12" s="82" t="s">
        <v>97</v>
      </c>
      <c r="J12" s="82"/>
      <c r="K12" s="23" t="s">
        <v>86</v>
      </c>
      <c r="L12" s="62">
        <f>L9</f>
        <v>14580</v>
      </c>
      <c r="M12" s="64">
        <v>0.2469047619047619</v>
      </c>
      <c r="N12" s="63">
        <f t="shared" si="0"/>
        <v>3599.8714285714286</v>
      </c>
      <c r="O12" s="83"/>
      <c r="P12" s="83"/>
      <c r="Q12" s="83"/>
      <c r="R12" s="83"/>
      <c r="S12" s="83"/>
      <c r="T12" s="83"/>
      <c r="U12" s="83"/>
    </row>
    <row r="13" spans="1:21" ht="14.5" x14ac:dyDescent="0.35">
      <c r="A13" s="88" t="s">
        <v>98</v>
      </c>
      <c r="B13" s="89"/>
      <c r="C13" s="89"/>
      <c r="D13" s="89"/>
      <c r="E13" s="90"/>
      <c r="F13" s="67">
        <f>SUM(F7:F12)</f>
        <v>21128.571428571428</v>
      </c>
      <c r="I13" s="91" t="s">
        <v>93</v>
      </c>
      <c r="J13" s="92"/>
      <c r="K13" s="65" t="s">
        <v>94</v>
      </c>
      <c r="L13" s="62">
        <f>785*2</f>
        <v>1570</v>
      </c>
      <c r="M13" s="64">
        <v>2.2799999999999998</v>
      </c>
      <c r="N13" s="63">
        <f t="shared" si="0"/>
        <v>3579.6</v>
      </c>
      <c r="O13" s="83"/>
      <c r="P13" s="83"/>
      <c r="Q13" s="83"/>
      <c r="R13" s="83"/>
      <c r="S13" s="83"/>
      <c r="T13" s="83"/>
      <c r="U13" s="83"/>
    </row>
    <row r="14" spans="1:21" ht="14.5" x14ac:dyDescent="0.35">
      <c r="I14" s="91" t="s">
        <v>95</v>
      </c>
      <c r="J14" s="92"/>
      <c r="K14" s="65" t="s">
        <v>96</v>
      </c>
      <c r="L14" s="66">
        <v>14</v>
      </c>
      <c r="M14" s="64">
        <v>400</v>
      </c>
      <c r="N14" s="63">
        <f t="shared" si="0"/>
        <v>5600</v>
      </c>
      <c r="O14" s="83"/>
      <c r="P14" s="83"/>
      <c r="Q14" s="83"/>
      <c r="R14" s="83"/>
      <c r="S14" s="83"/>
      <c r="T14" s="83"/>
      <c r="U14" s="83"/>
    </row>
    <row r="15" spans="1:21" ht="14.5" x14ac:dyDescent="0.35">
      <c r="I15" s="88" t="s">
        <v>98</v>
      </c>
      <c r="J15" s="89"/>
      <c r="K15" s="89"/>
      <c r="L15" s="89"/>
      <c r="M15" s="90"/>
      <c r="N15" s="67">
        <f>SUM(N7:N14)</f>
        <v>38297.577142857139</v>
      </c>
    </row>
    <row r="16" spans="1:21" x14ac:dyDescent="0.3">
      <c r="A16" t="s">
        <v>123</v>
      </c>
      <c r="D16" s="81">
        <v>0.16</v>
      </c>
    </row>
    <row r="17" spans="1:11" x14ac:dyDescent="0.3">
      <c r="A17" t="s">
        <v>99</v>
      </c>
      <c r="D17">
        <v>1.1000000000000001</v>
      </c>
      <c r="I17" t="s">
        <v>123</v>
      </c>
      <c r="K17" s="81">
        <v>0.16</v>
      </c>
    </row>
    <row r="18" spans="1:11" x14ac:dyDescent="0.3">
      <c r="A18" t="s">
        <v>100</v>
      </c>
      <c r="D18">
        <v>4.2</v>
      </c>
    </row>
    <row r="19" spans="1:11" x14ac:dyDescent="0.3">
      <c r="A19" t="s">
        <v>101</v>
      </c>
      <c r="D19">
        <v>14</v>
      </c>
      <c r="I19" s="68" t="s">
        <v>109</v>
      </c>
    </row>
    <row r="20" spans="1:11" x14ac:dyDescent="0.3">
      <c r="A20" t="s">
        <v>102</v>
      </c>
      <c r="D20">
        <v>20</v>
      </c>
      <c r="I20" t="s">
        <v>103</v>
      </c>
      <c r="K20" t="s">
        <v>104</v>
      </c>
    </row>
    <row r="21" spans="1:11" x14ac:dyDescent="0.3">
      <c r="A21" s="69" t="s">
        <v>105</v>
      </c>
      <c r="B21" s="69"/>
      <c r="C21" s="69"/>
      <c r="D21" s="69">
        <f>D19*D20</f>
        <v>280</v>
      </c>
      <c r="I21" t="s">
        <v>102</v>
      </c>
      <c r="K21">
        <v>20</v>
      </c>
    </row>
    <row r="22" spans="1:11" x14ac:dyDescent="0.3">
      <c r="I22" s="69" t="s">
        <v>106</v>
      </c>
      <c r="J22" s="69"/>
      <c r="K22" s="69">
        <v>130</v>
      </c>
    </row>
    <row r="24" spans="1:11" x14ac:dyDescent="0.3">
      <c r="I24" s="68" t="s">
        <v>110</v>
      </c>
    </row>
    <row r="25" spans="1:11" x14ac:dyDescent="0.3">
      <c r="I25" t="s">
        <v>100</v>
      </c>
      <c r="K25">
        <v>4.2</v>
      </c>
    </row>
    <row r="26" spans="1:11" x14ac:dyDescent="0.3">
      <c r="I26" t="s">
        <v>101</v>
      </c>
      <c r="K26">
        <f>(D21-K22)/K21</f>
        <v>7.5</v>
      </c>
    </row>
    <row r="27" spans="1:11" x14ac:dyDescent="0.3">
      <c r="I27" s="69" t="s">
        <v>107</v>
      </c>
      <c r="J27" s="69"/>
      <c r="K27" s="69">
        <f>K21*K26</f>
        <v>150</v>
      </c>
    </row>
    <row r="29" spans="1:11" ht="27.5" customHeight="1" x14ac:dyDescent="0.3">
      <c r="I29" s="94" t="s">
        <v>111</v>
      </c>
      <c r="J29" s="94"/>
      <c r="K29" s="69">
        <f>K22+K27</f>
        <v>280</v>
      </c>
    </row>
  </sheetData>
  <mergeCells count="30">
    <mergeCell ref="I14:J14"/>
    <mergeCell ref="O14:U14"/>
    <mergeCell ref="I15:M15"/>
    <mergeCell ref="I29:J29"/>
    <mergeCell ref="A12:C12"/>
    <mergeCell ref="I12:J12"/>
    <mergeCell ref="O12:U12"/>
    <mergeCell ref="A13:E13"/>
    <mergeCell ref="I13:J13"/>
    <mergeCell ref="O13:U13"/>
    <mergeCell ref="A10:C10"/>
    <mergeCell ref="I10:J10"/>
    <mergeCell ref="O10:U10"/>
    <mergeCell ref="A11:C11"/>
    <mergeCell ref="I11:J11"/>
    <mergeCell ref="O11:U11"/>
    <mergeCell ref="A8:C8"/>
    <mergeCell ref="I8:J8"/>
    <mergeCell ref="O8:U8"/>
    <mergeCell ref="A9:C9"/>
    <mergeCell ref="I9:J9"/>
    <mergeCell ref="O9:U9"/>
    <mergeCell ref="A7:C7"/>
    <mergeCell ref="I7:J7"/>
    <mergeCell ref="O7:U7"/>
    <mergeCell ref="A4:E4"/>
    <mergeCell ref="I4:N4"/>
    <mergeCell ref="A6:C6"/>
    <mergeCell ref="I6:J6"/>
    <mergeCell ref="O6:U6"/>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C2" sqref="C2"/>
    </sheetView>
  </sheetViews>
  <sheetFormatPr defaultColWidth="8.75" defaultRowHeight="14" x14ac:dyDescent="0.3"/>
  <cols>
    <col min="1" max="1" width="26.75" bestFit="1" customWidth="1"/>
    <col min="2" max="2" width="26.75" customWidth="1"/>
    <col min="3" max="3" width="17.75" bestFit="1" customWidth="1"/>
    <col min="4" max="4" width="10.5" customWidth="1"/>
    <col min="5" max="5" width="14.75" customWidth="1"/>
    <col min="6" max="9" width="13.25" customWidth="1"/>
  </cols>
  <sheetData>
    <row r="1" spans="1:9" ht="18.5" x14ac:dyDescent="0.45">
      <c r="A1" s="39" t="s">
        <v>40</v>
      </c>
      <c r="B1" s="39"/>
      <c r="C1" s="40" t="s">
        <v>125</v>
      </c>
      <c r="E1" s="95" t="s">
        <v>9</v>
      </c>
      <c r="F1" s="96"/>
      <c r="G1" s="96"/>
      <c r="H1" s="96"/>
      <c r="I1" s="97"/>
    </row>
    <row r="2" spans="1:9" ht="15.5" x14ac:dyDescent="0.35">
      <c r="A2" s="41">
        <v>12.5</v>
      </c>
      <c r="B2" s="41" t="s">
        <v>3</v>
      </c>
      <c r="C2" s="55">
        <v>4500</v>
      </c>
      <c r="E2" s="43"/>
      <c r="F2" s="17"/>
      <c r="G2" s="17"/>
      <c r="H2" s="17"/>
      <c r="I2" s="44"/>
    </row>
    <row r="3" spans="1:9" ht="15.5" x14ac:dyDescent="0.35">
      <c r="A3" s="41">
        <v>15</v>
      </c>
      <c r="B3" s="41" t="s">
        <v>3</v>
      </c>
      <c r="C3" s="55">
        <v>6000</v>
      </c>
      <c r="E3" s="45" t="s">
        <v>10</v>
      </c>
      <c r="F3" s="98" t="s">
        <v>11</v>
      </c>
      <c r="G3" s="99"/>
      <c r="H3" s="98" t="s">
        <v>12</v>
      </c>
      <c r="I3" s="100"/>
    </row>
    <row r="4" spans="1:9" ht="24" x14ac:dyDescent="0.35">
      <c r="A4" s="41">
        <v>20</v>
      </c>
      <c r="B4" s="41" t="s">
        <v>3</v>
      </c>
      <c r="C4" s="55">
        <v>12000</v>
      </c>
      <c r="E4" s="46" t="s">
        <v>13</v>
      </c>
      <c r="F4" s="13" t="s">
        <v>14</v>
      </c>
      <c r="G4" s="13" t="s">
        <v>34</v>
      </c>
      <c r="H4" s="14" t="s">
        <v>15</v>
      </c>
      <c r="I4" s="47" t="s">
        <v>34</v>
      </c>
    </row>
    <row r="5" spans="1:9" ht="15.5" x14ac:dyDescent="0.35">
      <c r="A5" s="41">
        <v>30</v>
      </c>
      <c r="B5" s="41" t="s">
        <v>3</v>
      </c>
      <c r="C5" s="55">
        <v>18500</v>
      </c>
      <c r="E5" s="48" t="s">
        <v>16</v>
      </c>
      <c r="F5" s="15">
        <v>250</v>
      </c>
      <c r="G5" s="15">
        <v>20</v>
      </c>
      <c r="H5" s="16">
        <v>250</v>
      </c>
      <c r="I5" s="49">
        <v>20</v>
      </c>
    </row>
    <row r="6" spans="1:9" ht="15.5" x14ac:dyDescent="0.35">
      <c r="A6" s="41">
        <v>45</v>
      </c>
      <c r="B6" s="41" t="s">
        <v>3</v>
      </c>
      <c r="C6" s="55">
        <v>22500</v>
      </c>
      <c r="E6" s="48" t="s">
        <v>17</v>
      </c>
      <c r="F6" s="15">
        <v>1000</v>
      </c>
      <c r="G6" s="15">
        <v>180</v>
      </c>
      <c r="H6" s="16">
        <v>1000</v>
      </c>
      <c r="I6" s="49">
        <v>125</v>
      </c>
    </row>
    <row r="7" spans="1:9" ht="15.5" x14ac:dyDescent="0.35">
      <c r="A7" s="41">
        <v>60</v>
      </c>
      <c r="B7" s="41" t="s">
        <v>3</v>
      </c>
      <c r="C7" s="55">
        <v>30000</v>
      </c>
      <c r="E7" s="48" t="s">
        <v>18</v>
      </c>
      <c r="F7" s="15">
        <v>10000</v>
      </c>
      <c r="G7" s="15" t="s">
        <v>19</v>
      </c>
      <c r="H7" s="16">
        <v>5000</v>
      </c>
      <c r="I7" s="49" t="s">
        <v>20</v>
      </c>
    </row>
    <row r="8" spans="1:9" ht="24.5" thickBot="1" x14ac:dyDescent="0.4">
      <c r="A8" s="41">
        <v>80</v>
      </c>
      <c r="B8" s="41" t="s">
        <v>3</v>
      </c>
      <c r="C8" s="55">
        <v>34000</v>
      </c>
      <c r="E8" s="50" t="s">
        <v>21</v>
      </c>
      <c r="F8" s="51">
        <v>35000</v>
      </c>
      <c r="G8" s="52" t="s">
        <v>22</v>
      </c>
      <c r="H8" s="53">
        <v>10000</v>
      </c>
      <c r="I8" s="54" t="s">
        <v>22</v>
      </c>
    </row>
    <row r="9" spans="1:9" ht="16" thickBot="1" x14ac:dyDescent="0.4">
      <c r="A9" s="42">
        <v>100</v>
      </c>
      <c r="B9" s="42" t="s">
        <v>3</v>
      </c>
      <c r="C9" s="56">
        <v>40000</v>
      </c>
    </row>
  </sheetData>
  <mergeCells count="3">
    <mergeCell ref="E1:I1"/>
    <mergeCell ref="F3:G3"/>
    <mergeCell ref="H3:I3"/>
  </mergeCell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28"/>
  <sheetViews>
    <sheetView workbookViewId="0">
      <selection activeCell="E9" sqref="E9"/>
    </sheetView>
  </sheetViews>
  <sheetFormatPr defaultColWidth="8.25" defaultRowHeight="14.5" x14ac:dyDescent="0.35"/>
  <cols>
    <col min="1" max="5" width="8.5" style="1" customWidth="1"/>
    <col min="6" max="6" width="9.5" style="1" customWidth="1"/>
    <col min="7" max="16384" width="8.25" style="5"/>
  </cols>
  <sheetData>
    <row r="1" spans="1:6" ht="15.5" x14ac:dyDescent="0.35">
      <c r="A1" s="101" t="s">
        <v>0</v>
      </c>
      <c r="B1" s="101"/>
      <c r="C1" s="101"/>
      <c r="D1" s="101"/>
      <c r="E1" s="101"/>
      <c r="F1" s="101"/>
    </row>
    <row r="2" spans="1:6" x14ac:dyDescent="0.35">
      <c r="A2" s="102" t="s">
        <v>1</v>
      </c>
      <c r="B2" s="102"/>
      <c r="C2" s="103" t="s">
        <v>2</v>
      </c>
      <c r="D2" s="103"/>
      <c r="E2" s="103"/>
      <c r="F2" s="103"/>
    </row>
    <row r="3" spans="1:6" x14ac:dyDescent="0.35">
      <c r="A3" s="2" t="s">
        <v>3</v>
      </c>
      <c r="B3" s="2" t="s">
        <v>4</v>
      </c>
      <c r="C3" s="6" t="s">
        <v>5</v>
      </c>
      <c r="D3" s="2" t="s">
        <v>6</v>
      </c>
      <c r="E3" s="60" t="s">
        <v>7</v>
      </c>
      <c r="F3" s="2" t="s">
        <v>8</v>
      </c>
    </row>
    <row r="4" spans="1:6" x14ac:dyDescent="0.35">
      <c r="A4" s="3">
        <v>25</v>
      </c>
      <c r="B4" s="7">
        <f t="shared" ref="B4:B28" si="0">A4*0.8</f>
        <v>20</v>
      </c>
      <c r="C4" s="8">
        <v>2.2999999999999998</v>
      </c>
      <c r="D4" s="9">
        <v>3.4</v>
      </c>
      <c r="E4" s="9">
        <v>4.9000000000000004</v>
      </c>
      <c r="F4" s="9">
        <v>6</v>
      </c>
    </row>
    <row r="5" spans="1:6" x14ac:dyDescent="0.35">
      <c r="A5" s="4">
        <v>38</v>
      </c>
      <c r="B5" s="10">
        <f t="shared" si="0"/>
        <v>30.400000000000002</v>
      </c>
      <c r="C5" s="11">
        <v>4.2</v>
      </c>
      <c r="D5" s="12">
        <v>6.8</v>
      </c>
      <c r="E5" s="12">
        <v>9.1</v>
      </c>
      <c r="F5" s="12">
        <v>11</v>
      </c>
    </row>
    <row r="6" spans="1:6" x14ac:dyDescent="0.35">
      <c r="A6" s="4">
        <v>50</v>
      </c>
      <c r="B6" s="10">
        <f t="shared" si="0"/>
        <v>40</v>
      </c>
      <c r="C6" s="11">
        <v>6</v>
      </c>
      <c r="D6" s="12">
        <v>8.6999999999999993</v>
      </c>
      <c r="E6" s="12">
        <v>12.1</v>
      </c>
      <c r="F6" s="12">
        <v>15.1</v>
      </c>
    </row>
    <row r="7" spans="1:6" x14ac:dyDescent="0.35">
      <c r="A7" s="4">
        <v>75</v>
      </c>
      <c r="B7" s="10">
        <f t="shared" si="0"/>
        <v>60</v>
      </c>
      <c r="C7" s="11">
        <v>6.8</v>
      </c>
      <c r="D7" s="12">
        <v>11</v>
      </c>
      <c r="E7" s="12">
        <v>14.4</v>
      </c>
      <c r="F7" s="12">
        <v>18.100000000000001</v>
      </c>
    </row>
    <row r="8" spans="1:6" x14ac:dyDescent="0.35">
      <c r="A8" s="4">
        <v>94</v>
      </c>
      <c r="B8" s="10">
        <f t="shared" si="0"/>
        <v>75.2</v>
      </c>
      <c r="C8" s="11">
        <v>9.1</v>
      </c>
      <c r="D8" s="12">
        <v>12.9</v>
      </c>
      <c r="E8" s="12">
        <v>17.399999999999999</v>
      </c>
      <c r="F8" s="12">
        <v>23.1</v>
      </c>
    </row>
    <row r="9" spans="1:6" x14ac:dyDescent="0.35">
      <c r="A9" s="4">
        <v>125</v>
      </c>
      <c r="B9" s="10">
        <f t="shared" si="0"/>
        <v>100</v>
      </c>
      <c r="C9" s="11">
        <v>9.8000000000000007</v>
      </c>
      <c r="D9" s="12">
        <v>15.5</v>
      </c>
      <c r="E9" s="12">
        <v>21.9</v>
      </c>
      <c r="F9" s="12">
        <v>28</v>
      </c>
    </row>
    <row r="10" spans="1:6" x14ac:dyDescent="0.35">
      <c r="A10" s="4">
        <v>156</v>
      </c>
      <c r="B10" s="10">
        <f t="shared" si="0"/>
        <v>124.80000000000001</v>
      </c>
      <c r="C10" s="11">
        <v>11.7</v>
      </c>
      <c r="D10" s="12">
        <v>18.899999999999999</v>
      </c>
      <c r="E10" s="12">
        <v>26.8</v>
      </c>
      <c r="F10" s="12">
        <v>34.4</v>
      </c>
    </row>
    <row r="11" spans="1:6" x14ac:dyDescent="0.35">
      <c r="A11" s="4">
        <v>169</v>
      </c>
      <c r="B11" s="10">
        <f t="shared" si="0"/>
        <v>135.20000000000002</v>
      </c>
      <c r="C11" s="11">
        <v>12.5</v>
      </c>
      <c r="D11" s="12">
        <v>20.399999999999999</v>
      </c>
      <c r="E11" s="12">
        <v>28.7</v>
      </c>
      <c r="F11" s="12">
        <v>37</v>
      </c>
    </row>
    <row r="12" spans="1:6" x14ac:dyDescent="0.35">
      <c r="A12" s="4">
        <v>188</v>
      </c>
      <c r="B12" s="10">
        <f t="shared" si="0"/>
        <v>150.4</v>
      </c>
      <c r="C12" s="11">
        <v>13.6</v>
      </c>
      <c r="D12" s="12">
        <v>22.3</v>
      </c>
      <c r="E12" s="12">
        <v>31.8</v>
      </c>
      <c r="F12" s="12">
        <v>41.2</v>
      </c>
    </row>
    <row r="13" spans="1:6" x14ac:dyDescent="0.35">
      <c r="A13" s="4">
        <v>219</v>
      </c>
      <c r="B13" s="10">
        <f t="shared" si="0"/>
        <v>175.20000000000002</v>
      </c>
      <c r="C13" s="11">
        <v>15.5</v>
      </c>
      <c r="D13" s="12">
        <v>25.7</v>
      </c>
      <c r="E13" s="12">
        <v>36.700000000000003</v>
      </c>
      <c r="F13" s="12">
        <v>48</v>
      </c>
    </row>
    <row r="14" spans="1:6" x14ac:dyDescent="0.35">
      <c r="A14" s="4">
        <v>250</v>
      </c>
      <c r="B14" s="10">
        <f t="shared" si="0"/>
        <v>200</v>
      </c>
      <c r="C14" s="11">
        <v>17.100000000000001</v>
      </c>
      <c r="D14" s="12">
        <v>29.1</v>
      </c>
      <c r="E14" s="12">
        <v>41.6</v>
      </c>
      <c r="F14" s="12">
        <v>54.4</v>
      </c>
    </row>
    <row r="15" spans="1:6" x14ac:dyDescent="0.35">
      <c r="A15" s="4">
        <v>288</v>
      </c>
      <c r="B15" s="10">
        <f t="shared" si="0"/>
        <v>230.4</v>
      </c>
      <c r="C15" s="11">
        <v>20</v>
      </c>
      <c r="D15" s="12">
        <v>33.299999999999997</v>
      </c>
      <c r="E15" s="12">
        <v>47.3</v>
      </c>
      <c r="F15" s="12">
        <v>62.7</v>
      </c>
    </row>
    <row r="16" spans="1:6" x14ac:dyDescent="0.35">
      <c r="A16" s="4">
        <v>313</v>
      </c>
      <c r="B16" s="10">
        <f t="shared" si="0"/>
        <v>250.4</v>
      </c>
      <c r="C16" s="11">
        <v>21.6</v>
      </c>
      <c r="D16" s="12">
        <v>35.9</v>
      </c>
      <c r="E16" s="12">
        <v>51.4</v>
      </c>
      <c r="F16" s="12">
        <v>68</v>
      </c>
    </row>
    <row r="17" spans="1:6" x14ac:dyDescent="0.35">
      <c r="A17" s="4">
        <v>375</v>
      </c>
      <c r="B17" s="10">
        <f t="shared" si="0"/>
        <v>300</v>
      </c>
      <c r="C17" s="11">
        <v>25.7</v>
      </c>
      <c r="D17" s="12">
        <v>42.7</v>
      </c>
      <c r="E17" s="12">
        <v>60.9</v>
      </c>
      <c r="F17" s="12">
        <v>81.3</v>
      </c>
    </row>
    <row r="18" spans="1:6" x14ac:dyDescent="0.35">
      <c r="A18" s="4">
        <v>438</v>
      </c>
      <c r="B18" s="10">
        <f t="shared" si="0"/>
        <v>350.40000000000003</v>
      </c>
      <c r="C18" s="11">
        <v>29.9</v>
      </c>
      <c r="D18" s="12">
        <v>49.5</v>
      </c>
      <c r="E18" s="12">
        <v>70.7</v>
      </c>
      <c r="F18" s="12">
        <v>94.9</v>
      </c>
    </row>
    <row r="19" spans="1:6" x14ac:dyDescent="0.35">
      <c r="A19" s="4">
        <v>500</v>
      </c>
      <c r="B19" s="10">
        <f t="shared" si="0"/>
        <v>400</v>
      </c>
      <c r="C19" s="11">
        <v>33.6</v>
      </c>
      <c r="D19" s="12">
        <v>56.3</v>
      </c>
      <c r="E19" s="12">
        <v>80.5</v>
      </c>
      <c r="F19" s="12">
        <v>108.1</v>
      </c>
    </row>
    <row r="20" spans="1:6" x14ac:dyDescent="0.35">
      <c r="A20" s="4">
        <v>625</v>
      </c>
      <c r="B20" s="10">
        <f t="shared" si="0"/>
        <v>500</v>
      </c>
      <c r="C20" s="11">
        <v>41.6</v>
      </c>
      <c r="D20" s="12">
        <v>69.900000000000006</v>
      </c>
      <c r="E20" s="12">
        <v>99.8</v>
      </c>
      <c r="F20" s="12">
        <v>134.9</v>
      </c>
    </row>
    <row r="21" spans="1:6" x14ac:dyDescent="0.35">
      <c r="A21" s="4">
        <v>750</v>
      </c>
      <c r="B21" s="10">
        <f t="shared" si="0"/>
        <v>600</v>
      </c>
      <c r="C21" s="11">
        <v>49.9</v>
      </c>
      <c r="D21" s="12">
        <v>83.2</v>
      </c>
      <c r="E21" s="12">
        <v>119.1</v>
      </c>
      <c r="F21" s="12">
        <v>161.80000000000001</v>
      </c>
    </row>
    <row r="22" spans="1:6" x14ac:dyDescent="0.35">
      <c r="A22" s="4">
        <v>938</v>
      </c>
      <c r="B22" s="10">
        <f t="shared" si="0"/>
        <v>750.40000000000009</v>
      </c>
      <c r="C22" s="11">
        <v>61.6</v>
      </c>
      <c r="D22" s="12">
        <v>103.6</v>
      </c>
      <c r="E22" s="12">
        <v>148.6</v>
      </c>
      <c r="F22" s="12">
        <v>201.9</v>
      </c>
    </row>
    <row r="23" spans="1:6" x14ac:dyDescent="0.35">
      <c r="A23" s="4">
        <v>1250</v>
      </c>
      <c r="B23" s="10">
        <f t="shared" si="0"/>
        <v>1000</v>
      </c>
      <c r="C23" s="11">
        <v>81.599999999999994</v>
      </c>
      <c r="D23" s="12">
        <v>137.6</v>
      </c>
      <c r="E23" s="12">
        <v>196.9</v>
      </c>
      <c r="F23" s="12">
        <v>268.8</v>
      </c>
    </row>
    <row r="24" spans="1:6" x14ac:dyDescent="0.35">
      <c r="A24" s="4">
        <v>1563</v>
      </c>
      <c r="B24" s="10">
        <f t="shared" si="0"/>
        <v>1250.4000000000001</v>
      </c>
      <c r="C24" s="11">
        <v>101.7</v>
      </c>
      <c r="D24" s="12">
        <v>171.2</v>
      </c>
      <c r="E24" s="12">
        <v>245.7</v>
      </c>
      <c r="F24" s="12">
        <v>335.7</v>
      </c>
    </row>
    <row r="25" spans="1:6" x14ac:dyDescent="0.35">
      <c r="A25" s="4">
        <v>1875</v>
      </c>
      <c r="B25" s="10">
        <f t="shared" si="0"/>
        <v>1500</v>
      </c>
      <c r="C25" s="11">
        <v>121.7</v>
      </c>
      <c r="D25" s="12">
        <v>205.3</v>
      </c>
      <c r="E25" s="12">
        <v>294.10000000000002</v>
      </c>
      <c r="F25" s="12">
        <v>402.6</v>
      </c>
    </row>
    <row r="26" spans="1:6" x14ac:dyDescent="0.35">
      <c r="A26" s="4">
        <v>2188</v>
      </c>
      <c r="B26" s="10">
        <f t="shared" si="0"/>
        <v>1750.4</v>
      </c>
      <c r="C26" s="11">
        <v>141.80000000000001</v>
      </c>
      <c r="D26" s="12">
        <v>238.9</v>
      </c>
      <c r="E26" s="12">
        <v>342.8</v>
      </c>
      <c r="F26" s="12">
        <v>469.5</v>
      </c>
    </row>
    <row r="27" spans="1:6" x14ac:dyDescent="0.35">
      <c r="A27" s="4">
        <v>2500</v>
      </c>
      <c r="B27" s="10">
        <f t="shared" si="0"/>
        <v>2000</v>
      </c>
      <c r="C27" s="11">
        <v>161.80000000000001</v>
      </c>
      <c r="D27" s="12">
        <v>272.89999999999998</v>
      </c>
      <c r="E27" s="12">
        <v>391.5</v>
      </c>
      <c r="F27" s="12">
        <v>536.4</v>
      </c>
    </row>
    <row r="28" spans="1:6" x14ac:dyDescent="0.35">
      <c r="A28" s="4">
        <v>2813</v>
      </c>
      <c r="B28" s="10">
        <f t="shared" si="0"/>
        <v>2250.4</v>
      </c>
      <c r="C28" s="11">
        <v>181.8</v>
      </c>
      <c r="D28" s="12">
        <v>306.60000000000002</v>
      </c>
      <c r="E28" s="12">
        <v>440</v>
      </c>
      <c r="F28" s="12">
        <v>603.29999999999995</v>
      </c>
    </row>
  </sheetData>
  <mergeCells count="3">
    <mergeCell ref="A1:F1"/>
    <mergeCell ref="A2:B2"/>
    <mergeCell ref="C2:F2"/>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dimension ref="A1:M35"/>
  <sheetViews>
    <sheetView zoomScale="80" zoomScaleNormal="80" zoomScalePageLayoutView="110" workbookViewId="0"/>
  </sheetViews>
  <sheetFormatPr defaultColWidth="11" defaultRowHeight="14" x14ac:dyDescent="0.3"/>
  <cols>
    <col min="1" max="1" width="32.9140625" style="21" customWidth="1"/>
    <col min="2" max="2" width="17.9140625" style="21" customWidth="1"/>
    <col min="3" max="3" width="10.83203125" style="21" customWidth="1"/>
    <col min="4" max="5" width="10.83203125" style="21" hidden="1" customWidth="1"/>
    <col min="6" max="6" width="11.83203125" style="21" bestFit="1" customWidth="1"/>
    <col min="7" max="7" width="12.58203125" style="21" bestFit="1" customWidth="1"/>
    <col min="8" max="8" width="8.58203125" style="21" bestFit="1" customWidth="1"/>
    <col min="9" max="9" width="12" style="21" customWidth="1"/>
    <col min="10" max="10" width="20.58203125" style="21" bestFit="1" customWidth="1"/>
    <col min="11" max="11" width="21.08203125" style="21" bestFit="1" customWidth="1"/>
    <col min="12" max="12" width="16.58203125" style="21" bestFit="1" customWidth="1"/>
    <col min="13" max="13" width="12.58203125" style="21" bestFit="1" customWidth="1"/>
    <col min="14" max="16384" width="11" style="21"/>
  </cols>
  <sheetData>
    <row r="1" spans="1:13" x14ac:dyDescent="0.3">
      <c r="A1" s="70" t="s">
        <v>126</v>
      </c>
      <c r="B1" s="20">
        <v>0.12</v>
      </c>
    </row>
    <row r="2" spans="1:13" x14ac:dyDescent="0.3">
      <c r="A2" s="70" t="s">
        <v>112</v>
      </c>
      <c r="B2" s="32">
        <f>'0 EXAMPLE'!F8</f>
        <v>9500</v>
      </c>
      <c r="D2" s="26"/>
    </row>
    <row r="3" spans="1:13" ht="42" x14ac:dyDescent="0.3">
      <c r="A3" s="71" t="s">
        <v>113</v>
      </c>
      <c r="B3" s="72">
        <f>'0 EXAMPLE'!F13</f>
        <v>21128.571428571428</v>
      </c>
      <c r="D3" s="26"/>
    </row>
    <row r="4" spans="1:13" x14ac:dyDescent="0.3">
      <c r="A4" s="73" t="s">
        <v>37</v>
      </c>
      <c r="B4" s="38">
        <f>'0 EXAMPLE'!D17</f>
        <v>1.1000000000000001</v>
      </c>
    </row>
    <row r="5" spans="1:13" x14ac:dyDescent="0.3">
      <c r="A5" s="73" t="s">
        <v>124</v>
      </c>
      <c r="B5" s="38">
        <f>'0 EXAMPLE'!D19</f>
        <v>14</v>
      </c>
    </row>
    <row r="6" spans="1:13" s="22" customFormat="1" ht="56" x14ac:dyDescent="0.3">
      <c r="A6" s="18" t="s">
        <v>23</v>
      </c>
      <c r="B6" s="18" t="s">
        <v>114</v>
      </c>
      <c r="C6" s="18" t="s">
        <v>31</v>
      </c>
      <c r="D6" s="18" t="s">
        <v>41</v>
      </c>
      <c r="E6" s="18" t="s">
        <v>42</v>
      </c>
      <c r="F6" s="18" t="s">
        <v>16</v>
      </c>
      <c r="G6" s="18" t="s">
        <v>17</v>
      </c>
      <c r="H6" s="18" t="s">
        <v>25</v>
      </c>
      <c r="I6" s="18" t="s">
        <v>26</v>
      </c>
      <c r="J6" s="18" t="s">
        <v>18</v>
      </c>
      <c r="K6" s="18" t="s">
        <v>21</v>
      </c>
      <c r="L6" s="18" t="s">
        <v>115</v>
      </c>
      <c r="M6" s="18" t="s">
        <v>66</v>
      </c>
    </row>
    <row r="7" spans="1:13" s="22" customFormat="1" ht="42.75" customHeight="1" x14ac:dyDescent="0.3">
      <c r="A7" s="18" t="s">
        <v>127</v>
      </c>
      <c r="B7" s="18"/>
      <c r="C7" s="18"/>
      <c r="D7" s="18"/>
      <c r="E7" s="18"/>
      <c r="F7" s="18" t="s">
        <v>35</v>
      </c>
      <c r="G7" s="18" t="s">
        <v>36</v>
      </c>
      <c r="H7" s="18"/>
      <c r="I7" s="18"/>
      <c r="J7" s="18" t="s">
        <v>33</v>
      </c>
      <c r="K7" s="18" t="s">
        <v>32</v>
      </c>
      <c r="L7" s="19" t="s">
        <v>128</v>
      </c>
      <c r="M7" s="19" t="s">
        <v>116</v>
      </c>
    </row>
    <row r="8" spans="1:13" x14ac:dyDescent="0.3">
      <c r="A8" s="23">
        <v>0</v>
      </c>
      <c r="B8" s="80">
        <f>B3</f>
        <v>21128.571428571428</v>
      </c>
      <c r="C8" s="57">
        <f>B5*354</f>
        <v>4956</v>
      </c>
      <c r="D8" s="57">
        <f>C8</f>
        <v>4956</v>
      </c>
      <c r="E8" s="57">
        <f>C8</f>
        <v>4956</v>
      </c>
      <c r="F8" s="33">
        <f t="shared" ref="F8:F32" si="0">(C8/250)*20</f>
        <v>396.48</v>
      </c>
      <c r="G8" s="33">
        <f t="shared" ref="G8:G32" si="1">(C8/1000)*180</f>
        <v>892.08</v>
      </c>
      <c r="H8" s="37">
        <f>'0 EXAMPLE'!D18</f>
        <v>4.2</v>
      </c>
      <c r="I8" s="33">
        <f>C8*H8*B4</f>
        <v>22896.720000000001</v>
      </c>
      <c r="J8" s="33"/>
      <c r="K8" s="33"/>
      <c r="L8" s="31">
        <f t="shared" ref="L8:L32" si="2">1/(1+$B$1)^A8</f>
        <v>1</v>
      </c>
      <c r="M8" s="33">
        <f>L8*(B8+F8+G8+I8+J8+K8)</f>
        <v>45313.851428571434</v>
      </c>
    </row>
    <row r="9" spans="1:13" x14ac:dyDescent="0.3">
      <c r="A9" s="23">
        <v>1</v>
      </c>
      <c r="B9" s="25"/>
      <c r="C9" s="25">
        <f>C8</f>
        <v>4956</v>
      </c>
      <c r="D9" s="25">
        <f t="shared" ref="D9:D32" si="3">IF(K9=0,IF(D8+C9&gt;10000,D8+C9-10000,D8+C9),E9)</f>
        <v>9912</v>
      </c>
      <c r="E9" s="25">
        <f t="shared" ref="E9:E32" si="4">IF(E8+C9&gt;35000,E8+C9-35000,E8+C9)</f>
        <v>9912</v>
      </c>
      <c r="F9" s="33">
        <f t="shared" si="0"/>
        <v>396.48</v>
      </c>
      <c r="G9" s="33">
        <f t="shared" si="1"/>
        <v>892.08</v>
      </c>
      <c r="H9" s="25"/>
      <c r="I9" s="33">
        <f>I8</f>
        <v>22896.720000000001</v>
      </c>
      <c r="J9" s="33">
        <f>IF($D8+$C9&gt;10000,$B$2*0.3,0)</f>
        <v>0</v>
      </c>
      <c r="K9" s="33">
        <f>IF($E8+$C9&gt;35000,$B$2,0)</f>
        <v>0</v>
      </c>
      <c r="L9" s="31">
        <f t="shared" si="2"/>
        <v>0.89285714285714279</v>
      </c>
      <c r="M9" s="33">
        <f t="shared" ref="M9:M32" si="5">L9*(F9+G9+I9+J9+K9)</f>
        <v>21594</v>
      </c>
    </row>
    <row r="10" spans="1:13" x14ac:dyDescent="0.3">
      <c r="A10" s="23">
        <v>2</v>
      </c>
      <c r="B10" s="25"/>
      <c r="C10" s="25">
        <f t="shared" ref="C10:C32" si="6">C9</f>
        <v>4956</v>
      </c>
      <c r="D10" s="25">
        <f t="shared" si="3"/>
        <v>4868</v>
      </c>
      <c r="E10" s="25">
        <f t="shared" si="4"/>
        <v>14868</v>
      </c>
      <c r="F10" s="33">
        <f t="shared" si="0"/>
        <v>396.48</v>
      </c>
      <c r="G10" s="33">
        <f t="shared" si="1"/>
        <v>892.08</v>
      </c>
      <c r="H10" s="25"/>
      <c r="I10" s="33">
        <f t="shared" ref="I10:I32" si="7">I9</f>
        <v>22896.720000000001</v>
      </c>
      <c r="J10" s="33">
        <f t="shared" ref="J10:J32" si="8">IF($D9+$C10&gt;10000,$B$2*0.3,0)</f>
        <v>2850</v>
      </c>
      <c r="K10" s="33">
        <f t="shared" ref="K10:K32" si="9">IF($E9+$C10&gt;35000,$B$2,0)</f>
        <v>0</v>
      </c>
      <c r="L10" s="31">
        <f t="shared" si="2"/>
        <v>0.79719387755102034</v>
      </c>
      <c r="M10" s="33">
        <f t="shared" si="5"/>
        <v>21552.359693877552</v>
      </c>
    </row>
    <row r="11" spans="1:13" x14ac:dyDescent="0.3">
      <c r="A11" s="23">
        <v>3</v>
      </c>
      <c r="B11" s="25"/>
      <c r="C11" s="25">
        <f t="shared" si="6"/>
        <v>4956</v>
      </c>
      <c r="D11" s="25">
        <f t="shared" si="3"/>
        <v>9824</v>
      </c>
      <c r="E11" s="25">
        <f t="shared" si="4"/>
        <v>19824</v>
      </c>
      <c r="F11" s="33">
        <f t="shared" si="0"/>
        <v>396.48</v>
      </c>
      <c r="G11" s="33">
        <f t="shared" si="1"/>
        <v>892.08</v>
      </c>
      <c r="H11" s="25"/>
      <c r="I11" s="33">
        <f t="shared" si="7"/>
        <v>22896.720000000001</v>
      </c>
      <c r="J11" s="33">
        <f t="shared" si="8"/>
        <v>0</v>
      </c>
      <c r="K11" s="33">
        <f t="shared" si="9"/>
        <v>0</v>
      </c>
      <c r="L11" s="31">
        <f t="shared" si="2"/>
        <v>0.71178024781341087</v>
      </c>
      <c r="M11" s="33">
        <f t="shared" si="5"/>
        <v>17214.604591836731</v>
      </c>
    </row>
    <row r="12" spans="1:13" x14ac:dyDescent="0.3">
      <c r="A12" s="23">
        <v>4</v>
      </c>
      <c r="B12" s="25"/>
      <c r="C12" s="25">
        <f t="shared" si="6"/>
        <v>4956</v>
      </c>
      <c r="D12" s="25">
        <f t="shared" si="3"/>
        <v>4780</v>
      </c>
      <c r="E12" s="25">
        <f t="shared" si="4"/>
        <v>24780</v>
      </c>
      <c r="F12" s="33">
        <f t="shared" si="0"/>
        <v>396.48</v>
      </c>
      <c r="G12" s="33">
        <f t="shared" si="1"/>
        <v>892.08</v>
      </c>
      <c r="H12" s="25"/>
      <c r="I12" s="33">
        <f t="shared" si="7"/>
        <v>22896.720000000001</v>
      </c>
      <c r="J12" s="33">
        <f t="shared" si="8"/>
        <v>2850</v>
      </c>
      <c r="K12" s="33">
        <f t="shared" si="9"/>
        <v>0</v>
      </c>
      <c r="L12" s="31">
        <f t="shared" si="2"/>
        <v>0.63551807840483121</v>
      </c>
      <c r="M12" s="33">
        <f t="shared" si="5"/>
        <v>17181.409194736567</v>
      </c>
    </row>
    <row r="13" spans="1:13" x14ac:dyDescent="0.3">
      <c r="A13" s="23">
        <v>5</v>
      </c>
      <c r="B13" s="25"/>
      <c r="C13" s="25">
        <f t="shared" si="6"/>
        <v>4956</v>
      </c>
      <c r="D13" s="25">
        <f t="shared" si="3"/>
        <v>9736</v>
      </c>
      <c r="E13" s="25">
        <f t="shared" si="4"/>
        <v>29736</v>
      </c>
      <c r="F13" s="33">
        <f t="shared" si="0"/>
        <v>396.48</v>
      </c>
      <c r="G13" s="33">
        <f t="shared" si="1"/>
        <v>892.08</v>
      </c>
      <c r="H13" s="25"/>
      <c r="I13" s="33">
        <f t="shared" si="7"/>
        <v>22896.720000000001</v>
      </c>
      <c r="J13" s="33">
        <f t="shared" si="8"/>
        <v>0</v>
      </c>
      <c r="K13" s="33">
        <f t="shared" si="9"/>
        <v>0</v>
      </c>
      <c r="L13" s="31">
        <f t="shared" si="2"/>
        <v>0.56742685571859919</v>
      </c>
      <c r="M13" s="33">
        <f t="shared" si="5"/>
        <v>13723.377385073924</v>
      </c>
    </row>
    <row r="14" spans="1:13" x14ac:dyDescent="0.3">
      <c r="A14" s="23">
        <v>6</v>
      </c>
      <c r="B14" s="25"/>
      <c r="C14" s="25">
        <f t="shared" si="6"/>
        <v>4956</v>
      </c>
      <c r="D14" s="25">
        <f t="shared" si="3"/>
        <v>4692</v>
      </c>
      <c r="E14" s="25">
        <f t="shared" si="4"/>
        <v>34692</v>
      </c>
      <c r="F14" s="33">
        <f t="shared" si="0"/>
        <v>396.48</v>
      </c>
      <c r="G14" s="33">
        <f t="shared" si="1"/>
        <v>892.08</v>
      </c>
      <c r="H14" s="25"/>
      <c r="I14" s="33">
        <f t="shared" si="7"/>
        <v>22896.720000000001</v>
      </c>
      <c r="J14" s="33">
        <f t="shared" si="8"/>
        <v>2850</v>
      </c>
      <c r="K14" s="33">
        <f t="shared" si="9"/>
        <v>0</v>
      </c>
      <c r="L14" s="31">
        <f t="shared" si="2"/>
        <v>0.50663112117732068</v>
      </c>
      <c r="M14" s="33">
        <f t="shared" si="5"/>
        <v>13696.914217742795</v>
      </c>
    </row>
    <row r="15" spans="1:13" x14ac:dyDescent="0.3">
      <c r="A15" s="23">
        <v>7</v>
      </c>
      <c r="B15" s="25"/>
      <c r="C15" s="25">
        <f t="shared" si="6"/>
        <v>4956</v>
      </c>
      <c r="D15" s="25">
        <f t="shared" si="3"/>
        <v>4648</v>
      </c>
      <c r="E15" s="25">
        <f t="shared" si="4"/>
        <v>4648</v>
      </c>
      <c r="F15" s="33">
        <f t="shared" si="0"/>
        <v>396.48</v>
      </c>
      <c r="G15" s="33">
        <f t="shared" si="1"/>
        <v>892.08</v>
      </c>
      <c r="H15" s="25"/>
      <c r="I15" s="33">
        <f t="shared" si="7"/>
        <v>22896.720000000001</v>
      </c>
      <c r="J15" s="33">
        <f t="shared" si="8"/>
        <v>0</v>
      </c>
      <c r="K15" s="33">
        <f t="shared" si="9"/>
        <v>9500</v>
      </c>
      <c r="L15" s="31">
        <f t="shared" si="2"/>
        <v>0.45234921533689343</v>
      </c>
      <c r="M15" s="33">
        <f t="shared" si="5"/>
        <v>15237.509976403549</v>
      </c>
    </row>
    <row r="16" spans="1:13" x14ac:dyDescent="0.3">
      <c r="A16" s="23">
        <v>8</v>
      </c>
      <c r="B16" s="25"/>
      <c r="C16" s="25">
        <f t="shared" si="6"/>
        <v>4956</v>
      </c>
      <c r="D16" s="25">
        <f t="shared" si="3"/>
        <v>9604</v>
      </c>
      <c r="E16" s="25">
        <f t="shared" si="4"/>
        <v>9604</v>
      </c>
      <c r="F16" s="33">
        <f t="shared" si="0"/>
        <v>396.48</v>
      </c>
      <c r="G16" s="33">
        <f t="shared" si="1"/>
        <v>892.08</v>
      </c>
      <c r="H16" s="25"/>
      <c r="I16" s="33">
        <f t="shared" si="7"/>
        <v>22896.720000000001</v>
      </c>
      <c r="J16" s="33">
        <f t="shared" si="8"/>
        <v>0</v>
      </c>
      <c r="K16" s="33">
        <f t="shared" si="9"/>
        <v>0</v>
      </c>
      <c r="L16" s="31">
        <f t="shared" si="2"/>
        <v>0.4038832279793691</v>
      </c>
      <c r="M16" s="33">
        <f t="shared" si="5"/>
        <v>9768.028955984877</v>
      </c>
    </row>
    <row r="17" spans="1:13" x14ac:dyDescent="0.3">
      <c r="A17" s="23">
        <v>9</v>
      </c>
      <c r="B17" s="25"/>
      <c r="C17" s="25">
        <f t="shared" si="6"/>
        <v>4956</v>
      </c>
      <c r="D17" s="25">
        <f t="shared" si="3"/>
        <v>4560</v>
      </c>
      <c r="E17" s="25">
        <f t="shared" si="4"/>
        <v>14560</v>
      </c>
      <c r="F17" s="33">
        <f t="shared" si="0"/>
        <v>396.48</v>
      </c>
      <c r="G17" s="33">
        <f t="shared" si="1"/>
        <v>892.08</v>
      </c>
      <c r="H17" s="25"/>
      <c r="I17" s="33">
        <f t="shared" si="7"/>
        <v>22896.720000000001</v>
      </c>
      <c r="J17" s="33">
        <f t="shared" si="8"/>
        <v>2850</v>
      </c>
      <c r="K17" s="33">
        <f t="shared" si="9"/>
        <v>0</v>
      </c>
      <c r="L17" s="31">
        <f t="shared" si="2"/>
        <v>0.36061002498157957</v>
      </c>
      <c r="M17" s="33">
        <f t="shared" si="5"/>
        <v>9749.1929961839996</v>
      </c>
    </row>
    <row r="18" spans="1:13" x14ac:dyDescent="0.3">
      <c r="A18" s="23">
        <v>10</v>
      </c>
      <c r="B18" s="25"/>
      <c r="C18" s="25">
        <f t="shared" si="6"/>
        <v>4956</v>
      </c>
      <c r="D18" s="25">
        <f>IF(K18=0,IF(D17+C18&gt;10000,D17+C18-10000,D17+C18),E18)</f>
        <v>9516</v>
      </c>
      <c r="E18" s="25">
        <f t="shared" si="4"/>
        <v>19516</v>
      </c>
      <c r="F18" s="33">
        <f t="shared" si="0"/>
        <v>396.48</v>
      </c>
      <c r="G18" s="33">
        <f t="shared" si="1"/>
        <v>892.08</v>
      </c>
      <c r="H18" s="25"/>
      <c r="I18" s="33">
        <f t="shared" si="7"/>
        <v>22896.720000000001</v>
      </c>
      <c r="J18" s="33">
        <f t="shared" si="8"/>
        <v>0</v>
      </c>
      <c r="K18" s="33">
        <f t="shared" si="9"/>
        <v>0</v>
      </c>
      <c r="L18" s="31">
        <f t="shared" si="2"/>
        <v>0.32197323659069599</v>
      </c>
      <c r="M18" s="33">
        <f t="shared" si="5"/>
        <v>7787.0128794522288</v>
      </c>
    </row>
    <row r="19" spans="1:13" x14ac:dyDescent="0.3">
      <c r="A19" s="23">
        <v>11</v>
      </c>
      <c r="B19" s="25"/>
      <c r="C19" s="25">
        <f t="shared" si="6"/>
        <v>4956</v>
      </c>
      <c r="D19" s="25">
        <f t="shared" si="3"/>
        <v>4472</v>
      </c>
      <c r="E19" s="25">
        <f t="shared" si="4"/>
        <v>24472</v>
      </c>
      <c r="F19" s="33">
        <f t="shared" si="0"/>
        <v>396.48</v>
      </c>
      <c r="G19" s="33">
        <f t="shared" si="1"/>
        <v>892.08</v>
      </c>
      <c r="H19" s="25"/>
      <c r="I19" s="33">
        <f t="shared" si="7"/>
        <v>22896.720000000001</v>
      </c>
      <c r="J19" s="33">
        <f t="shared" si="8"/>
        <v>2850</v>
      </c>
      <c r="K19" s="33">
        <f t="shared" si="9"/>
        <v>0</v>
      </c>
      <c r="L19" s="31">
        <f t="shared" si="2"/>
        <v>0.28747610409883567</v>
      </c>
      <c r="M19" s="33">
        <f t="shared" si="5"/>
        <v>7771.9969676211704</v>
      </c>
    </row>
    <row r="20" spans="1:13" x14ac:dyDescent="0.3">
      <c r="A20" s="23">
        <v>12</v>
      </c>
      <c r="B20" s="25"/>
      <c r="C20" s="25">
        <f t="shared" si="6"/>
        <v>4956</v>
      </c>
      <c r="D20" s="25">
        <f t="shared" si="3"/>
        <v>9428</v>
      </c>
      <c r="E20" s="25">
        <f t="shared" si="4"/>
        <v>29428</v>
      </c>
      <c r="F20" s="33">
        <f t="shared" si="0"/>
        <v>396.48</v>
      </c>
      <c r="G20" s="33">
        <f t="shared" si="1"/>
        <v>892.08</v>
      </c>
      <c r="H20" s="25"/>
      <c r="I20" s="33">
        <f t="shared" si="7"/>
        <v>22896.720000000001</v>
      </c>
      <c r="J20" s="33">
        <f t="shared" si="8"/>
        <v>0</v>
      </c>
      <c r="K20" s="33">
        <f t="shared" si="9"/>
        <v>0</v>
      </c>
      <c r="L20" s="31">
        <f t="shared" si="2"/>
        <v>0.25667509294538904</v>
      </c>
      <c r="M20" s="33">
        <f t="shared" si="5"/>
        <v>6207.7589919102593</v>
      </c>
    </row>
    <row r="21" spans="1:13" x14ac:dyDescent="0.3">
      <c r="A21" s="23">
        <v>13</v>
      </c>
      <c r="B21" s="25"/>
      <c r="C21" s="25">
        <f t="shared" si="6"/>
        <v>4956</v>
      </c>
      <c r="D21" s="25">
        <f t="shared" si="3"/>
        <v>4384</v>
      </c>
      <c r="E21" s="25">
        <f t="shared" si="4"/>
        <v>34384</v>
      </c>
      <c r="F21" s="33">
        <f t="shared" si="0"/>
        <v>396.48</v>
      </c>
      <c r="G21" s="33">
        <f t="shared" si="1"/>
        <v>892.08</v>
      </c>
      <c r="H21" s="25"/>
      <c r="I21" s="33">
        <f t="shared" si="7"/>
        <v>22896.720000000001</v>
      </c>
      <c r="J21" s="33">
        <f t="shared" si="8"/>
        <v>2850</v>
      </c>
      <c r="K21" s="33">
        <f t="shared" si="9"/>
        <v>0</v>
      </c>
      <c r="L21" s="31">
        <f t="shared" si="2"/>
        <v>0.22917419012981158</v>
      </c>
      <c r="M21" s="33">
        <f t="shared" si="5"/>
        <v>6195.7883989326929</v>
      </c>
    </row>
    <row r="22" spans="1:13" x14ac:dyDescent="0.3">
      <c r="A22" s="23">
        <v>14</v>
      </c>
      <c r="B22" s="25"/>
      <c r="C22" s="25">
        <f t="shared" si="6"/>
        <v>4956</v>
      </c>
      <c r="D22" s="25">
        <f t="shared" si="3"/>
        <v>4340</v>
      </c>
      <c r="E22" s="25">
        <f t="shared" si="4"/>
        <v>4340</v>
      </c>
      <c r="F22" s="33">
        <f t="shared" si="0"/>
        <v>396.48</v>
      </c>
      <c r="G22" s="33">
        <f t="shared" si="1"/>
        <v>892.08</v>
      </c>
      <c r="H22" s="25"/>
      <c r="I22" s="33">
        <f t="shared" si="7"/>
        <v>22896.720000000001</v>
      </c>
      <c r="J22" s="33">
        <f t="shared" si="8"/>
        <v>0</v>
      </c>
      <c r="K22" s="33">
        <f t="shared" si="9"/>
        <v>9500</v>
      </c>
      <c r="L22" s="31">
        <f t="shared" si="2"/>
        <v>0.20461981261590317</v>
      </c>
      <c r="M22" s="33">
        <f t="shared" si="5"/>
        <v>6892.6756815142307</v>
      </c>
    </row>
    <row r="23" spans="1:13" x14ac:dyDescent="0.3">
      <c r="A23" s="23">
        <v>15</v>
      </c>
      <c r="B23" s="25"/>
      <c r="C23" s="25">
        <f t="shared" si="6"/>
        <v>4956</v>
      </c>
      <c r="D23" s="25">
        <f t="shared" si="3"/>
        <v>9296</v>
      </c>
      <c r="E23" s="25">
        <f t="shared" si="4"/>
        <v>9296</v>
      </c>
      <c r="F23" s="33">
        <f t="shared" si="0"/>
        <v>396.48</v>
      </c>
      <c r="G23" s="33">
        <f t="shared" si="1"/>
        <v>892.08</v>
      </c>
      <c r="H23" s="25"/>
      <c r="I23" s="33">
        <f t="shared" si="7"/>
        <v>22896.720000000001</v>
      </c>
      <c r="J23" s="33">
        <f t="shared" si="8"/>
        <v>0</v>
      </c>
      <c r="K23" s="33">
        <f t="shared" si="9"/>
        <v>0</v>
      </c>
      <c r="L23" s="31">
        <f t="shared" si="2"/>
        <v>0.18269626126419927</v>
      </c>
      <c r="M23" s="33">
        <f t="shared" si="5"/>
        <v>4418.5602336278134</v>
      </c>
    </row>
    <row r="24" spans="1:13" x14ac:dyDescent="0.3">
      <c r="A24" s="23">
        <v>16</v>
      </c>
      <c r="B24" s="25"/>
      <c r="C24" s="25">
        <f t="shared" si="6"/>
        <v>4956</v>
      </c>
      <c r="D24" s="25">
        <f t="shared" si="3"/>
        <v>4252</v>
      </c>
      <c r="E24" s="25">
        <f t="shared" si="4"/>
        <v>14252</v>
      </c>
      <c r="F24" s="33">
        <f t="shared" si="0"/>
        <v>396.48</v>
      </c>
      <c r="G24" s="33">
        <f t="shared" si="1"/>
        <v>892.08</v>
      </c>
      <c r="H24" s="25"/>
      <c r="I24" s="33">
        <f t="shared" si="7"/>
        <v>22896.720000000001</v>
      </c>
      <c r="J24" s="33">
        <f t="shared" si="8"/>
        <v>2850</v>
      </c>
      <c r="K24" s="33">
        <f t="shared" si="9"/>
        <v>0</v>
      </c>
      <c r="L24" s="31">
        <f t="shared" si="2"/>
        <v>0.16312166184303503</v>
      </c>
      <c r="M24" s="33">
        <f t="shared" si="5"/>
        <v>4410.0398019917684</v>
      </c>
    </row>
    <row r="25" spans="1:13" x14ac:dyDescent="0.3">
      <c r="A25" s="23">
        <v>17</v>
      </c>
      <c r="B25" s="25"/>
      <c r="C25" s="25">
        <f t="shared" si="6"/>
        <v>4956</v>
      </c>
      <c r="D25" s="25">
        <f t="shared" si="3"/>
        <v>9208</v>
      </c>
      <c r="E25" s="25">
        <f t="shared" si="4"/>
        <v>19208</v>
      </c>
      <c r="F25" s="33">
        <f t="shared" si="0"/>
        <v>396.48</v>
      </c>
      <c r="G25" s="33">
        <f t="shared" si="1"/>
        <v>892.08</v>
      </c>
      <c r="H25" s="25"/>
      <c r="I25" s="33">
        <f t="shared" si="7"/>
        <v>22896.720000000001</v>
      </c>
      <c r="J25" s="33">
        <f t="shared" si="8"/>
        <v>0</v>
      </c>
      <c r="K25" s="33">
        <f t="shared" si="9"/>
        <v>0</v>
      </c>
      <c r="L25" s="31">
        <f t="shared" si="2"/>
        <v>0.14564434093128129</v>
      </c>
      <c r="M25" s="33">
        <f t="shared" si="5"/>
        <v>3522.4491658384991</v>
      </c>
    </row>
    <row r="26" spans="1:13" x14ac:dyDescent="0.3">
      <c r="A26" s="23">
        <v>18</v>
      </c>
      <c r="B26" s="25"/>
      <c r="C26" s="25">
        <f t="shared" si="6"/>
        <v>4956</v>
      </c>
      <c r="D26" s="25">
        <f t="shared" si="3"/>
        <v>4164</v>
      </c>
      <c r="E26" s="25">
        <f t="shared" si="4"/>
        <v>24164</v>
      </c>
      <c r="F26" s="33">
        <f t="shared" si="0"/>
        <v>396.48</v>
      </c>
      <c r="G26" s="33">
        <f t="shared" si="1"/>
        <v>892.08</v>
      </c>
      <c r="H26" s="25"/>
      <c r="I26" s="33">
        <f t="shared" si="7"/>
        <v>22896.720000000001</v>
      </c>
      <c r="J26" s="33">
        <f t="shared" si="8"/>
        <v>2850</v>
      </c>
      <c r="K26" s="33">
        <f t="shared" si="9"/>
        <v>0</v>
      </c>
      <c r="L26" s="31">
        <f t="shared" si="2"/>
        <v>0.13003959011721541</v>
      </c>
      <c r="M26" s="33">
        <f t="shared" si="5"/>
        <v>3515.6567299041517</v>
      </c>
    </row>
    <row r="27" spans="1:13" x14ac:dyDescent="0.3">
      <c r="A27" s="23">
        <v>19</v>
      </c>
      <c r="B27" s="25"/>
      <c r="C27" s="25">
        <f t="shared" si="6"/>
        <v>4956</v>
      </c>
      <c r="D27" s="25">
        <f t="shared" si="3"/>
        <v>9120</v>
      </c>
      <c r="E27" s="25">
        <f t="shared" si="4"/>
        <v>29120</v>
      </c>
      <c r="F27" s="33">
        <f t="shared" si="0"/>
        <v>396.48</v>
      </c>
      <c r="G27" s="33">
        <f t="shared" si="1"/>
        <v>892.08</v>
      </c>
      <c r="H27" s="25"/>
      <c r="I27" s="33">
        <f t="shared" si="7"/>
        <v>22896.720000000001</v>
      </c>
      <c r="J27" s="33">
        <f t="shared" si="8"/>
        <v>0</v>
      </c>
      <c r="K27" s="33">
        <f t="shared" si="9"/>
        <v>0</v>
      </c>
      <c r="L27" s="31">
        <f t="shared" si="2"/>
        <v>0.1161067768903709</v>
      </c>
      <c r="M27" s="33">
        <f t="shared" si="5"/>
        <v>2808.0749089911496</v>
      </c>
    </row>
    <row r="28" spans="1:13" x14ac:dyDescent="0.3">
      <c r="A28" s="23">
        <v>20</v>
      </c>
      <c r="B28" s="25"/>
      <c r="C28" s="25">
        <f t="shared" si="6"/>
        <v>4956</v>
      </c>
      <c r="D28" s="25">
        <f t="shared" si="3"/>
        <v>4076</v>
      </c>
      <c r="E28" s="25">
        <f t="shared" si="4"/>
        <v>34076</v>
      </c>
      <c r="F28" s="33">
        <f t="shared" si="0"/>
        <v>396.48</v>
      </c>
      <c r="G28" s="33">
        <f t="shared" si="1"/>
        <v>892.08</v>
      </c>
      <c r="H28" s="25"/>
      <c r="I28" s="33">
        <f t="shared" si="7"/>
        <v>22896.720000000001</v>
      </c>
      <c r="J28" s="33">
        <f t="shared" si="8"/>
        <v>2850</v>
      </c>
      <c r="K28" s="33">
        <f t="shared" si="9"/>
        <v>0</v>
      </c>
      <c r="L28" s="31">
        <f t="shared" si="2"/>
        <v>0.1036667650806883</v>
      </c>
      <c r="M28" s="33">
        <f t="shared" si="5"/>
        <v>2802.6600206506309</v>
      </c>
    </row>
    <row r="29" spans="1:13" x14ac:dyDescent="0.3">
      <c r="A29" s="23">
        <v>21</v>
      </c>
      <c r="B29" s="25"/>
      <c r="C29" s="25">
        <f t="shared" si="6"/>
        <v>4956</v>
      </c>
      <c r="D29" s="25">
        <f t="shared" si="3"/>
        <v>4032</v>
      </c>
      <c r="E29" s="25">
        <f t="shared" si="4"/>
        <v>4032</v>
      </c>
      <c r="F29" s="33">
        <f t="shared" si="0"/>
        <v>396.48</v>
      </c>
      <c r="G29" s="33">
        <f t="shared" si="1"/>
        <v>892.08</v>
      </c>
      <c r="H29" s="25"/>
      <c r="I29" s="33">
        <f t="shared" si="7"/>
        <v>22896.720000000001</v>
      </c>
      <c r="J29" s="33">
        <f t="shared" si="8"/>
        <v>0</v>
      </c>
      <c r="K29" s="33">
        <f t="shared" si="9"/>
        <v>9500</v>
      </c>
      <c r="L29" s="31">
        <f t="shared" si="2"/>
        <v>9.2559611679185971E-2</v>
      </c>
      <c r="M29" s="33">
        <f t="shared" si="5"/>
        <v>3117.8964361046496</v>
      </c>
    </row>
    <row r="30" spans="1:13" x14ac:dyDescent="0.3">
      <c r="A30" s="23">
        <v>22</v>
      </c>
      <c r="B30" s="25"/>
      <c r="C30" s="25">
        <f t="shared" si="6"/>
        <v>4956</v>
      </c>
      <c r="D30" s="25">
        <f t="shared" si="3"/>
        <v>8988</v>
      </c>
      <c r="E30" s="25">
        <f t="shared" si="4"/>
        <v>8988</v>
      </c>
      <c r="F30" s="33">
        <f t="shared" si="0"/>
        <v>396.48</v>
      </c>
      <c r="G30" s="33">
        <f t="shared" si="1"/>
        <v>892.08</v>
      </c>
      <c r="H30" s="25"/>
      <c r="I30" s="33">
        <f t="shared" si="7"/>
        <v>22896.720000000001</v>
      </c>
      <c r="J30" s="33">
        <f t="shared" si="8"/>
        <v>0</v>
      </c>
      <c r="K30" s="33">
        <f t="shared" si="9"/>
        <v>0</v>
      </c>
      <c r="L30" s="31">
        <f t="shared" si="2"/>
        <v>8.2642510427844609E-2</v>
      </c>
      <c r="M30" s="33">
        <f t="shared" si="5"/>
        <v>1998.7322546003418</v>
      </c>
    </row>
    <row r="31" spans="1:13" x14ac:dyDescent="0.3">
      <c r="A31" s="23">
        <v>23</v>
      </c>
      <c r="B31" s="25"/>
      <c r="C31" s="25">
        <f t="shared" si="6"/>
        <v>4956</v>
      </c>
      <c r="D31" s="25">
        <f t="shared" si="3"/>
        <v>3944</v>
      </c>
      <c r="E31" s="25">
        <f t="shared" si="4"/>
        <v>13944</v>
      </c>
      <c r="F31" s="33">
        <f t="shared" si="0"/>
        <v>396.48</v>
      </c>
      <c r="G31" s="33">
        <f t="shared" si="1"/>
        <v>892.08</v>
      </c>
      <c r="H31" s="25"/>
      <c r="I31" s="33">
        <f t="shared" si="7"/>
        <v>22896.720000000001</v>
      </c>
      <c r="J31" s="33">
        <f t="shared" si="8"/>
        <v>2850</v>
      </c>
      <c r="K31" s="33">
        <f t="shared" si="9"/>
        <v>0</v>
      </c>
      <c r="L31" s="31">
        <f t="shared" si="2"/>
        <v>7.3787955739146982E-2</v>
      </c>
      <c r="M31" s="33">
        <f t="shared" si="5"/>
        <v>1994.8780440354458</v>
      </c>
    </row>
    <row r="32" spans="1:13" x14ac:dyDescent="0.3">
      <c r="A32" s="23">
        <v>24</v>
      </c>
      <c r="B32" s="25"/>
      <c r="C32" s="25">
        <f t="shared" si="6"/>
        <v>4956</v>
      </c>
      <c r="D32" s="25">
        <f t="shared" si="3"/>
        <v>8900</v>
      </c>
      <c r="E32" s="25">
        <f t="shared" si="4"/>
        <v>18900</v>
      </c>
      <c r="F32" s="33">
        <f t="shared" si="0"/>
        <v>396.48</v>
      </c>
      <c r="G32" s="33">
        <f t="shared" si="1"/>
        <v>892.08</v>
      </c>
      <c r="H32" s="25"/>
      <c r="I32" s="33">
        <f t="shared" si="7"/>
        <v>22896.720000000001</v>
      </c>
      <c r="J32" s="33">
        <f t="shared" si="8"/>
        <v>0</v>
      </c>
      <c r="K32" s="33">
        <f t="shared" si="9"/>
        <v>0</v>
      </c>
      <c r="L32" s="31">
        <f t="shared" si="2"/>
        <v>6.5882103338524081E-2</v>
      </c>
      <c r="M32" s="33">
        <f t="shared" si="5"/>
        <v>1593.3771162311398</v>
      </c>
    </row>
    <row r="33" spans="5:13" x14ac:dyDescent="0.3">
      <c r="L33" s="74"/>
      <c r="M33" s="34"/>
    </row>
    <row r="34" spans="5:13" x14ac:dyDescent="0.3">
      <c r="L34" s="24" t="s">
        <v>27</v>
      </c>
      <c r="M34" s="35">
        <f>SUM(M8:M33)</f>
        <v>250068.80607181764</v>
      </c>
    </row>
    <row r="35" spans="5:13" x14ac:dyDescent="0.3">
      <c r="E35" s="26"/>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L32"/>
  <sheetViews>
    <sheetView workbookViewId="0">
      <selection activeCell="I5" sqref="I5"/>
    </sheetView>
  </sheetViews>
  <sheetFormatPr defaultColWidth="11" defaultRowHeight="14" x14ac:dyDescent="0.3"/>
  <cols>
    <col min="1" max="1" width="32.75" style="21" customWidth="1"/>
    <col min="2" max="2" width="10.83203125" style="21" bestFit="1" customWidth="1"/>
    <col min="3" max="3" width="11.83203125" style="21" bestFit="1" customWidth="1"/>
    <col min="4" max="4" width="12.58203125" style="21" bestFit="1" customWidth="1"/>
    <col min="5" max="5" width="8.58203125" style="21" bestFit="1" customWidth="1"/>
    <col min="6" max="6" width="7.9140625" style="21" customWidth="1"/>
    <col min="7" max="7" width="11.1640625" style="21" customWidth="1"/>
    <col min="8" max="8" width="13.1640625" style="21" customWidth="1"/>
    <col min="9" max="9" width="13.6640625" style="21" customWidth="1"/>
    <col min="10" max="10" width="12.5" style="21" customWidth="1"/>
    <col min="11" max="16384" width="11" style="21"/>
  </cols>
  <sheetData>
    <row r="1" spans="1:12" x14ac:dyDescent="0.3">
      <c r="A1" s="70" t="s">
        <v>126</v>
      </c>
      <c r="B1" s="75">
        <v>0.16</v>
      </c>
    </row>
    <row r="2" spans="1:12" ht="29.25" customHeight="1" x14ac:dyDescent="0.3">
      <c r="A2" s="76" t="s">
        <v>117</v>
      </c>
      <c r="B2" s="32">
        <f>'0 EXAMPLE'!N15</f>
        <v>38297.577142857139</v>
      </c>
    </row>
    <row r="3" spans="1:12" x14ac:dyDescent="0.3">
      <c r="A3" s="73" t="s">
        <v>38</v>
      </c>
      <c r="B3" s="72">
        <f>'0 EXAMPLE'!N8</f>
        <v>2025.0000000000002</v>
      </c>
    </row>
    <row r="4" spans="1:12" s="22" customFormat="1" ht="42" x14ac:dyDescent="0.3">
      <c r="A4" s="18" t="s">
        <v>23</v>
      </c>
      <c r="B4" s="18" t="s">
        <v>24</v>
      </c>
      <c r="C4" s="18" t="s">
        <v>39</v>
      </c>
      <c r="D4" s="18" t="s">
        <v>17</v>
      </c>
      <c r="E4" s="18" t="s">
        <v>25</v>
      </c>
      <c r="F4" s="18" t="s">
        <v>26</v>
      </c>
      <c r="G4" s="18" t="s">
        <v>18</v>
      </c>
      <c r="H4" s="18" t="s">
        <v>118</v>
      </c>
      <c r="I4" s="18" t="s">
        <v>115</v>
      </c>
      <c r="J4" s="18" t="s">
        <v>66</v>
      </c>
    </row>
    <row r="5" spans="1:12" x14ac:dyDescent="0.3">
      <c r="A5" s="19" t="s">
        <v>127</v>
      </c>
      <c r="B5" s="19"/>
      <c r="C5" s="19" t="s">
        <v>29</v>
      </c>
      <c r="D5" s="19" t="s">
        <v>28</v>
      </c>
      <c r="E5" s="19"/>
      <c r="F5" s="19"/>
      <c r="G5" s="19" t="s">
        <v>28</v>
      </c>
      <c r="H5" s="19" t="s">
        <v>119</v>
      </c>
      <c r="I5" s="19" t="s">
        <v>128</v>
      </c>
      <c r="J5" s="19" t="s">
        <v>116</v>
      </c>
    </row>
    <row r="6" spans="1:12" x14ac:dyDescent="0.3">
      <c r="A6" s="23">
        <v>0</v>
      </c>
      <c r="B6" s="33">
        <f>B2</f>
        <v>38297.577142857139</v>
      </c>
      <c r="C6" s="32">
        <v>1500</v>
      </c>
      <c r="D6" s="33">
        <v>0</v>
      </c>
      <c r="E6" s="25">
        <v>0</v>
      </c>
      <c r="F6" s="33">
        <v>0</v>
      </c>
      <c r="G6" s="33"/>
      <c r="H6" s="33"/>
      <c r="I6" s="31">
        <f>1/(1+$B$1)^A6</f>
        <v>1</v>
      </c>
      <c r="J6" s="33">
        <f>I6*(B6+C6+D6+F6+G6+H6)</f>
        <v>39797.577142857139</v>
      </c>
    </row>
    <row r="7" spans="1:12" x14ac:dyDescent="0.3">
      <c r="A7" s="23">
        <v>1</v>
      </c>
      <c r="B7" s="33"/>
      <c r="C7" s="33">
        <f>C6</f>
        <v>1500</v>
      </c>
      <c r="D7" s="33">
        <f>D6</f>
        <v>0</v>
      </c>
      <c r="E7" s="33"/>
      <c r="F7" s="33">
        <f>F6</f>
        <v>0</v>
      </c>
      <c r="G7" s="33"/>
      <c r="H7" s="33"/>
      <c r="I7" s="31">
        <f t="shared" ref="I7:I30" si="0">1/(1+$B$1)^A7</f>
        <v>0.86206896551724144</v>
      </c>
      <c r="J7" s="33">
        <f t="shared" ref="J7:J30" si="1">I7*(C7+D7+F7+G7+H7)</f>
        <v>1293.1034482758621</v>
      </c>
    </row>
    <row r="8" spans="1:12" x14ac:dyDescent="0.3">
      <c r="A8" s="23">
        <v>2</v>
      </c>
      <c r="B8" s="33"/>
      <c r="C8" s="33">
        <f t="shared" ref="C8:D23" si="2">C7</f>
        <v>1500</v>
      </c>
      <c r="D8" s="33">
        <f t="shared" si="2"/>
        <v>0</v>
      </c>
      <c r="E8" s="33"/>
      <c r="F8" s="33">
        <f t="shared" ref="F8:F30" si="3">F7</f>
        <v>0</v>
      </c>
      <c r="G8" s="33"/>
      <c r="H8" s="33"/>
      <c r="I8" s="31">
        <f t="shared" si="0"/>
        <v>0.74316290130796681</v>
      </c>
      <c r="J8" s="33">
        <f t="shared" si="1"/>
        <v>1114.7443519619503</v>
      </c>
    </row>
    <row r="9" spans="1:12" x14ac:dyDescent="0.3">
      <c r="A9" s="23">
        <v>3</v>
      </c>
      <c r="B9" s="33"/>
      <c r="C9" s="33">
        <f t="shared" si="2"/>
        <v>1500</v>
      </c>
      <c r="D9" s="33">
        <f t="shared" si="2"/>
        <v>0</v>
      </c>
      <c r="E9" s="33"/>
      <c r="F9" s="33">
        <f t="shared" si="3"/>
        <v>0</v>
      </c>
      <c r="G9" s="33"/>
      <c r="H9" s="33"/>
      <c r="I9" s="31">
        <f t="shared" si="0"/>
        <v>0.64065767354135073</v>
      </c>
      <c r="J9" s="33">
        <f t="shared" si="1"/>
        <v>960.9865103120261</v>
      </c>
    </row>
    <row r="10" spans="1:12" x14ac:dyDescent="0.3">
      <c r="A10" s="23">
        <v>4</v>
      </c>
      <c r="B10" s="33"/>
      <c r="C10" s="33">
        <f t="shared" si="2"/>
        <v>1500</v>
      </c>
      <c r="D10" s="33">
        <f t="shared" si="2"/>
        <v>0</v>
      </c>
      <c r="E10" s="33"/>
      <c r="F10" s="33">
        <f t="shared" si="3"/>
        <v>0</v>
      </c>
      <c r="G10" s="33"/>
      <c r="H10" s="33"/>
      <c r="I10" s="31">
        <f t="shared" si="0"/>
        <v>0.5522910978804747</v>
      </c>
      <c r="J10" s="33">
        <f t="shared" si="1"/>
        <v>828.4366468207121</v>
      </c>
    </row>
    <row r="11" spans="1:12" x14ac:dyDescent="0.3">
      <c r="A11" s="23">
        <v>5</v>
      </c>
      <c r="B11" s="33"/>
      <c r="C11" s="33">
        <f t="shared" si="2"/>
        <v>1500</v>
      </c>
      <c r="D11" s="33">
        <f t="shared" si="2"/>
        <v>0</v>
      </c>
      <c r="E11" s="33"/>
      <c r="F11" s="33">
        <f t="shared" si="3"/>
        <v>0</v>
      </c>
      <c r="G11" s="33"/>
      <c r="H11" s="33"/>
      <c r="I11" s="31">
        <f t="shared" si="0"/>
        <v>0.47611301541420237</v>
      </c>
      <c r="J11" s="33">
        <f t="shared" si="1"/>
        <v>714.16952312130354</v>
      </c>
    </row>
    <row r="12" spans="1:12" x14ac:dyDescent="0.3">
      <c r="A12" s="23">
        <v>6</v>
      </c>
      <c r="B12" s="33"/>
      <c r="C12" s="33">
        <f t="shared" si="2"/>
        <v>1500</v>
      </c>
      <c r="D12" s="33">
        <f t="shared" si="2"/>
        <v>0</v>
      </c>
      <c r="E12" s="33"/>
      <c r="F12" s="33">
        <f t="shared" si="3"/>
        <v>0</v>
      </c>
      <c r="G12" s="33"/>
      <c r="H12" s="33">
        <f>B3</f>
        <v>2025.0000000000002</v>
      </c>
      <c r="I12" s="31">
        <f t="shared" si="0"/>
        <v>0.41044225466741585</v>
      </c>
      <c r="J12" s="33">
        <f t="shared" si="1"/>
        <v>1446.8089477026408</v>
      </c>
    </row>
    <row r="13" spans="1:12" x14ac:dyDescent="0.3">
      <c r="A13" s="23">
        <v>7</v>
      </c>
      <c r="B13" s="33"/>
      <c r="C13" s="33">
        <f t="shared" si="2"/>
        <v>1500</v>
      </c>
      <c r="D13" s="33">
        <f t="shared" si="2"/>
        <v>0</v>
      </c>
      <c r="E13" s="33"/>
      <c r="F13" s="33">
        <f t="shared" si="3"/>
        <v>0</v>
      </c>
      <c r="G13" s="33"/>
      <c r="H13" s="33"/>
      <c r="I13" s="31">
        <f t="shared" si="0"/>
        <v>0.35382952988570338</v>
      </c>
      <c r="J13" s="33">
        <f t="shared" si="1"/>
        <v>530.7442948285551</v>
      </c>
    </row>
    <row r="14" spans="1:12" x14ac:dyDescent="0.3">
      <c r="A14" s="23">
        <v>8</v>
      </c>
      <c r="B14" s="33"/>
      <c r="C14" s="33">
        <f t="shared" si="2"/>
        <v>1500</v>
      </c>
      <c r="D14" s="33">
        <f t="shared" si="2"/>
        <v>0</v>
      </c>
      <c r="E14" s="33"/>
      <c r="F14" s="33">
        <f t="shared" si="3"/>
        <v>0</v>
      </c>
      <c r="G14" s="33"/>
      <c r="H14" s="33"/>
      <c r="I14" s="31">
        <f t="shared" si="0"/>
        <v>0.30502545679802012</v>
      </c>
      <c r="J14" s="33">
        <f t="shared" si="1"/>
        <v>457.5381851970302</v>
      </c>
    </row>
    <row r="15" spans="1:12" x14ac:dyDescent="0.3">
      <c r="A15" s="23">
        <v>9</v>
      </c>
      <c r="B15" s="33"/>
      <c r="C15" s="33">
        <f t="shared" si="2"/>
        <v>1500</v>
      </c>
      <c r="D15" s="33">
        <f t="shared" si="2"/>
        <v>0</v>
      </c>
      <c r="E15" s="33"/>
      <c r="F15" s="33">
        <f t="shared" si="3"/>
        <v>0</v>
      </c>
      <c r="G15" s="33"/>
      <c r="H15" s="33"/>
      <c r="I15" s="31">
        <f t="shared" si="0"/>
        <v>0.26295297999829326</v>
      </c>
      <c r="J15" s="33">
        <f t="shared" si="1"/>
        <v>394.42946999743987</v>
      </c>
      <c r="L15" s="34"/>
    </row>
    <row r="16" spans="1:12" x14ac:dyDescent="0.3">
      <c r="A16" s="23">
        <v>10</v>
      </c>
      <c r="B16" s="33"/>
      <c r="C16" s="33">
        <f t="shared" si="2"/>
        <v>1500</v>
      </c>
      <c r="D16" s="33">
        <f t="shared" si="2"/>
        <v>0</v>
      </c>
      <c r="E16" s="33"/>
      <c r="F16" s="33">
        <f t="shared" si="3"/>
        <v>0</v>
      </c>
      <c r="G16" s="33"/>
      <c r="H16" s="33"/>
      <c r="I16" s="31">
        <f t="shared" si="0"/>
        <v>0.22668360344680452</v>
      </c>
      <c r="J16" s="33">
        <f t="shared" si="1"/>
        <v>340.0254051702068</v>
      </c>
    </row>
    <row r="17" spans="1:10" x14ac:dyDescent="0.3">
      <c r="A17" s="23">
        <v>11</v>
      </c>
      <c r="B17" s="33"/>
      <c r="C17" s="33">
        <f t="shared" si="2"/>
        <v>1500</v>
      </c>
      <c r="D17" s="33">
        <f t="shared" si="2"/>
        <v>0</v>
      </c>
      <c r="E17" s="33"/>
      <c r="F17" s="33">
        <f t="shared" si="3"/>
        <v>0</v>
      </c>
      <c r="G17" s="33"/>
      <c r="H17" s="33"/>
      <c r="I17" s="31">
        <f t="shared" si="0"/>
        <v>0.19541689952310734</v>
      </c>
      <c r="J17" s="33">
        <f t="shared" si="1"/>
        <v>293.12534928466101</v>
      </c>
    </row>
    <row r="18" spans="1:10" x14ac:dyDescent="0.3">
      <c r="A18" s="23">
        <v>12</v>
      </c>
      <c r="B18" s="33"/>
      <c r="C18" s="33">
        <f t="shared" si="2"/>
        <v>1500</v>
      </c>
      <c r="D18" s="33">
        <f t="shared" si="2"/>
        <v>0</v>
      </c>
      <c r="E18" s="33"/>
      <c r="F18" s="33">
        <f t="shared" si="3"/>
        <v>0</v>
      </c>
      <c r="G18" s="33"/>
      <c r="H18" s="33"/>
      <c r="I18" s="31">
        <f t="shared" si="0"/>
        <v>0.16846284441647186</v>
      </c>
      <c r="J18" s="33">
        <f t="shared" si="1"/>
        <v>252.69426662470778</v>
      </c>
    </row>
    <row r="19" spans="1:10" x14ac:dyDescent="0.3">
      <c r="A19" s="23">
        <v>13</v>
      </c>
      <c r="B19" s="33"/>
      <c r="C19" s="33">
        <f t="shared" si="2"/>
        <v>1500</v>
      </c>
      <c r="D19" s="33">
        <f t="shared" si="2"/>
        <v>0</v>
      </c>
      <c r="E19" s="33"/>
      <c r="F19" s="33">
        <f t="shared" si="3"/>
        <v>0</v>
      </c>
      <c r="G19" s="33"/>
      <c r="H19" s="33">
        <f>B3</f>
        <v>2025.0000000000002</v>
      </c>
      <c r="I19" s="31">
        <f t="shared" si="0"/>
        <v>0.14522659001419991</v>
      </c>
      <c r="J19" s="33">
        <f t="shared" si="1"/>
        <v>511.92372980005467</v>
      </c>
    </row>
    <row r="20" spans="1:10" x14ac:dyDescent="0.3">
      <c r="A20" s="23">
        <v>14</v>
      </c>
      <c r="B20" s="33"/>
      <c r="C20" s="33">
        <f t="shared" si="2"/>
        <v>1500</v>
      </c>
      <c r="D20" s="33">
        <f t="shared" si="2"/>
        <v>0</v>
      </c>
      <c r="E20" s="33"/>
      <c r="F20" s="33">
        <f t="shared" si="3"/>
        <v>0</v>
      </c>
      <c r="G20" s="33"/>
      <c r="H20" s="33"/>
      <c r="I20" s="31">
        <f t="shared" si="0"/>
        <v>0.12519533621913784</v>
      </c>
      <c r="J20" s="33">
        <f t="shared" si="1"/>
        <v>187.79300432870676</v>
      </c>
    </row>
    <row r="21" spans="1:10" x14ac:dyDescent="0.3">
      <c r="A21" s="23">
        <v>15</v>
      </c>
      <c r="B21" s="33"/>
      <c r="C21" s="33">
        <f t="shared" si="2"/>
        <v>1500</v>
      </c>
      <c r="D21" s="33">
        <f t="shared" si="2"/>
        <v>0</v>
      </c>
      <c r="E21" s="33"/>
      <c r="F21" s="33">
        <f t="shared" si="3"/>
        <v>0</v>
      </c>
      <c r="G21" s="33"/>
      <c r="H21" s="33"/>
      <c r="I21" s="31">
        <f t="shared" si="0"/>
        <v>0.10792701398201539</v>
      </c>
      <c r="J21" s="33">
        <f t="shared" si="1"/>
        <v>161.89052097302309</v>
      </c>
    </row>
    <row r="22" spans="1:10" x14ac:dyDescent="0.3">
      <c r="A22" s="23">
        <v>16</v>
      </c>
      <c r="B22" s="33"/>
      <c r="C22" s="33">
        <f t="shared" si="2"/>
        <v>1500</v>
      </c>
      <c r="D22" s="33">
        <f t="shared" si="2"/>
        <v>0</v>
      </c>
      <c r="E22" s="33"/>
      <c r="F22" s="33">
        <f t="shared" si="3"/>
        <v>0</v>
      </c>
      <c r="G22" s="33"/>
      <c r="H22" s="33"/>
      <c r="I22" s="31">
        <f t="shared" si="0"/>
        <v>9.3040529294840857E-2</v>
      </c>
      <c r="J22" s="33">
        <f t="shared" si="1"/>
        <v>139.56079394226128</v>
      </c>
    </row>
    <row r="23" spans="1:10" x14ac:dyDescent="0.3">
      <c r="A23" s="23">
        <v>17</v>
      </c>
      <c r="B23" s="33"/>
      <c r="C23" s="33">
        <f t="shared" si="2"/>
        <v>1500</v>
      </c>
      <c r="D23" s="33">
        <f t="shared" si="2"/>
        <v>0</v>
      </c>
      <c r="E23" s="33"/>
      <c r="F23" s="33">
        <f t="shared" si="3"/>
        <v>0</v>
      </c>
      <c r="G23" s="33"/>
      <c r="H23" s="33"/>
      <c r="I23" s="31">
        <f t="shared" si="0"/>
        <v>8.0207352840380053E-2</v>
      </c>
      <c r="J23" s="33">
        <f t="shared" si="1"/>
        <v>120.31102926057008</v>
      </c>
    </row>
    <row r="24" spans="1:10" x14ac:dyDescent="0.3">
      <c r="A24" s="23">
        <v>18</v>
      </c>
      <c r="B24" s="33"/>
      <c r="C24" s="33">
        <f t="shared" ref="C24:D30" si="4">C23</f>
        <v>1500</v>
      </c>
      <c r="D24" s="33">
        <f t="shared" si="4"/>
        <v>0</v>
      </c>
      <c r="E24" s="33"/>
      <c r="F24" s="33">
        <f t="shared" si="3"/>
        <v>0</v>
      </c>
      <c r="G24" s="33"/>
      <c r="H24" s="33"/>
      <c r="I24" s="31">
        <f t="shared" si="0"/>
        <v>6.9144269689982801E-2</v>
      </c>
      <c r="J24" s="33">
        <f t="shared" si="1"/>
        <v>103.7164045349742</v>
      </c>
    </row>
    <row r="25" spans="1:10" x14ac:dyDescent="0.3">
      <c r="A25" s="23">
        <v>19</v>
      </c>
      <c r="B25" s="33"/>
      <c r="C25" s="33">
        <f t="shared" si="4"/>
        <v>1500</v>
      </c>
      <c r="D25" s="33">
        <f t="shared" si="4"/>
        <v>0</v>
      </c>
      <c r="E25" s="33"/>
      <c r="F25" s="33">
        <f t="shared" si="3"/>
        <v>0</v>
      </c>
      <c r="G25" s="33"/>
      <c r="H25" s="33"/>
      <c r="I25" s="31">
        <f t="shared" si="0"/>
        <v>5.9607129043088625E-2</v>
      </c>
      <c r="J25" s="33">
        <f t="shared" si="1"/>
        <v>89.410693564632936</v>
      </c>
    </row>
    <row r="26" spans="1:10" x14ac:dyDescent="0.3">
      <c r="A26" s="23">
        <v>20</v>
      </c>
      <c r="B26" s="33"/>
      <c r="C26" s="33">
        <f t="shared" si="4"/>
        <v>1500</v>
      </c>
      <c r="D26" s="33">
        <f t="shared" si="4"/>
        <v>0</v>
      </c>
      <c r="E26" s="33"/>
      <c r="F26" s="33">
        <f t="shared" si="3"/>
        <v>0</v>
      </c>
      <c r="G26" s="33"/>
      <c r="H26" s="33"/>
      <c r="I26" s="31">
        <f t="shared" si="0"/>
        <v>5.138545607162813E-2</v>
      </c>
      <c r="J26" s="33">
        <f t="shared" si="1"/>
        <v>77.078184107442198</v>
      </c>
    </row>
    <row r="27" spans="1:10" x14ac:dyDescent="0.3">
      <c r="A27" s="23">
        <v>21</v>
      </c>
      <c r="B27" s="33"/>
      <c r="C27" s="33">
        <f t="shared" si="4"/>
        <v>1500</v>
      </c>
      <c r="D27" s="33">
        <f t="shared" si="4"/>
        <v>0</v>
      </c>
      <c r="E27" s="33"/>
      <c r="F27" s="33">
        <f t="shared" si="3"/>
        <v>0</v>
      </c>
      <c r="G27" s="33"/>
      <c r="H27" s="33">
        <f>B3</f>
        <v>2025.0000000000002</v>
      </c>
      <c r="I27" s="31">
        <f t="shared" si="0"/>
        <v>4.4297806958300108E-2</v>
      </c>
      <c r="J27" s="33">
        <f t="shared" si="1"/>
        <v>156.14976952800788</v>
      </c>
    </row>
    <row r="28" spans="1:10" x14ac:dyDescent="0.3">
      <c r="A28" s="23">
        <v>22</v>
      </c>
      <c r="B28" s="33"/>
      <c r="C28" s="33">
        <f t="shared" si="4"/>
        <v>1500</v>
      </c>
      <c r="D28" s="33">
        <f t="shared" si="4"/>
        <v>0</v>
      </c>
      <c r="E28" s="33"/>
      <c r="F28" s="33">
        <f t="shared" si="3"/>
        <v>0</v>
      </c>
      <c r="G28" s="33"/>
      <c r="H28" s="33"/>
      <c r="I28" s="31">
        <f t="shared" si="0"/>
        <v>3.8187764619224233E-2</v>
      </c>
      <c r="J28" s="33">
        <f t="shared" si="1"/>
        <v>57.281646928836352</v>
      </c>
    </row>
    <row r="29" spans="1:10" x14ac:dyDescent="0.3">
      <c r="A29" s="23">
        <v>23</v>
      </c>
      <c r="B29" s="33"/>
      <c r="C29" s="33">
        <f t="shared" si="4"/>
        <v>1500</v>
      </c>
      <c r="D29" s="33">
        <f t="shared" si="4"/>
        <v>0</v>
      </c>
      <c r="E29" s="33"/>
      <c r="F29" s="33">
        <f t="shared" si="3"/>
        <v>0</v>
      </c>
      <c r="G29" s="33"/>
      <c r="H29" s="33"/>
      <c r="I29" s="31">
        <f t="shared" si="0"/>
        <v>3.2920486740710547E-2</v>
      </c>
      <c r="J29" s="33">
        <f t="shared" si="1"/>
        <v>49.380730111065823</v>
      </c>
    </row>
    <row r="30" spans="1:10" x14ac:dyDescent="0.3">
      <c r="A30" s="23">
        <v>24</v>
      </c>
      <c r="B30" s="33"/>
      <c r="C30" s="33">
        <f t="shared" si="4"/>
        <v>1500</v>
      </c>
      <c r="D30" s="33">
        <f t="shared" si="4"/>
        <v>0</v>
      </c>
      <c r="E30" s="33"/>
      <c r="F30" s="33">
        <f t="shared" si="3"/>
        <v>0</v>
      </c>
      <c r="G30" s="33"/>
      <c r="H30" s="33"/>
      <c r="I30" s="31">
        <f t="shared" si="0"/>
        <v>2.8379729948888405E-2</v>
      </c>
      <c r="J30" s="33">
        <f t="shared" si="1"/>
        <v>42.569594923332609</v>
      </c>
    </row>
    <row r="31" spans="1:10" x14ac:dyDescent="0.3">
      <c r="I31" s="74"/>
      <c r="J31" s="26"/>
    </row>
    <row r="32" spans="1:10" x14ac:dyDescent="0.3">
      <c r="I32" s="24" t="s">
        <v>27</v>
      </c>
      <c r="J32" s="35">
        <f>SUM(J6:J31)</f>
        <v>50121.449644157132</v>
      </c>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topLeftCell="F1" workbookViewId="0">
      <selection activeCell="L8" sqref="L8"/>
    </sheetView>
  </sheetViews>
  <sheetFormatPr defaultColWidth="11" defaultRowHeight="14" x14ac:dyDescent="0.3"/>
  <cols>
    <col min="1" max="1" width="32" style="21" customWidth="1"/>
    <col min="2" max="2" width="17.9140625" style="21" customWidth="1"/>
    <col min="3" max="3" width="10.83203125" style="21" customWidth="1"/>
    <col min="4" max="5" width="10.83203125" style="21" hidden="1" customWidth="1"/>
    <col min="6" max="6" width="11.83203125" style="21" customWidth="1"/>
    <col min="7" max="7" width="12.58203125" style="21" customWidth="1"/>
    <col min="8" max="8" width="8.58203125" style="21" bestFit="1" customWidth="1"/>
    <col min="9" max="9" width="12" style="21" customWidth="1"/>
    <col min="10" max="10" width="20.58203125" style="21" bestFit="1" customWidth="1"/>
    <col min="11" max="11" width="21.08203125" style="21" bestFit="1" customWidth="1"/>
    <col min="12" max="12" width="16.58203125" style="21" bestFit="1" customWidth="1"/>
    <col min="13" max="13" width="12.58203125" style="21" bestFit="1" customWidth="1"/>
    <col min="14" max="16384" width="11" style="21"/>
  </cols>
  <sheetData>
    <row r="1" spans="1:13" x14ac:dyDescent="0.3">
      <c r="A1" s="70" t="s">
        <v>129</v>
      </c>
      <c r="B1" s="75">
        <f>'4 Solar (Hybrid)'!B1</f>
        <v>0.16</v>
      </c>
    </row>
    <row r="2" spans="1:13" x14ac:dyDescent="0.3">
      <c r="A2" s="70" t="s">
        <v>112</v>
      </c>
      <c r="B2" s="32">
        <f>'0 EXAMPLE'!F8</f>
        <v>9500</v>
      </c>
      <c r="D2" s="26"/>
    </row>
    <row r="3" spans="1:13" ht="42" x14ac:dyDescent="0.3">
      <c r="A3" s="71" t="s">
        <v>113</v>
      </c>
      <c r="B3" s="72">
        <f>'0 EXAMPLE'!F13</f>
        <v>21128.571428571428</v>
      </c>
      <c r="D3" s="26"/>
    </row>
    <row r="4" spans="1:13" x14ac:dyDescent="0.3">
      <c r="A4" s="73" t="s">
        <v>37</v>
      </c>
      <c r="B4" s="38">
        <f>'0 EXAMPLE'!D17</f>
        <v>1.1000000000000001</v>
      </c>
    </row>
    <row r="5" spans="1:13" x14ac:dyDescent="0.3">
      <c r="A5" s="73" t="s">
        <v>124</v>
      </c>
      <c r="B5" s="38">
        <f>'0 EXAMPLE'!K26</f>
        <v>7.5</v>
      </c>
    </row>
    <row r="6" spans="1:13" s="22" customFormat="1" ht="56" x14ac:dyDescent="0.3">
      <c r="A6" s="18" t="s">
        <v>23</v>
      </c>
      <c r="B6" s="18" t="s">
        <v>114</v>
      </c>
      <c r="C6" s="18" t="s">
        <v>31</v>
      </c>
      <c r="D6" s="18" t="s">
        <v>41</v>
      </c>
      <c r="E6" s="18" t="s">
        <v>42</v>
      </c>
      <c r="F6" s="18" t="s">
        <v>16</v>
      </c>
      <c r="G6" s="18" t="s">
        <v>17</v>
      </c>
      <c r="H6" s="18" t="s">
        <v>25</v>
      </c>
      <c r="I6" s="18" t="s">
        <v>26</v>
      </c>
      <c r="J6" s="18" t="s">
        <v>18</v>
      </c>
      <c r="K6" s="18" t="s">
        <v>21</v>
      </c>
      <c r="L6" s="18" t="s">
        <v>115</v>
      </c>
      <c r="M6" s="18" t="s">
        <v>66</v>
      </c>
    </row>
    <row r="7" spans="1:13" s="22" customFormat="1" ht="42.75" customHeight="1" x14ac:dyDescent="0.3">
      <c r="A7" s="18" t="s">
        <v>127</v>
      </c>
      <c r="B7" s="18"/>
      <c r="C7" s="18"/>
      <c r="D7" s="18"/>
      <c r="E7" s="18"/>
      <c r="F7" s="18" t="s">
        <v>35</v>
      </c>
      <c r="G7" s="18" t="s">
        <v>36</v>
      </c>
      <c r="H7" s="18"/>
      <c r="I7" s="18"/>
      <c r="J7" s="18" t="s">
        <v>33</v>
      </c>
      <c r="K7" s="18" t="s">
        <v>32</v>
      </c>
      <c r="L7" s="19" t="s">
        <v>128</v>
      </c>
      <c r="M7" s="19" t="s">
        <v>116</v>
      </c>
    </row>
    <row r="8" spans="1:13" x14ac:dyDescent="0.3">
      <c r="A8" s="23">
        <v>0</v>
      </c>
      <c r="B8" s="80">
        <f>B3</f>
        <v>21128.571428571428</v>
      </c>
      <c r="C8" s="57">
        <f>B5*365</f>
        <v>2737.5</v>
      </c>
      <c r="D8" s="57">
        <f>C8</f>
        <v>2737.5</v>
      </c>
      <c r="E8" s="57">
        <f>C8</f>
        <v>2737.5</v>
      </c>
      <c r="F8" s="33">
        <f t="shared" ref="F8:F32" si="0">(C8/250)*20</f>
        <v>219</v>
      </c>
      <c r="G8" s="33">
        <f t="shared" ref="G8:G32" si="1">(C8/1000)*180</f>
        <v>492.74999999999994</v>
      </c>
      <c r="H8" s="37">
        <f>'0 EXAMPLE'!D18</f>
        <v>4.2</v>
      </c>
      <c r="I8" s="33">
        <f>C8*H8*B4</f>
        <v>12647.250000000002</v>
      </c>
      <c r="J8" s="33"/>
      <c r="K8" s="33"/>
      <c r="L8" s="31">
        <f t="shared" ref="L8:L32" si="2">1/(1+$B$1)^A8</f>
        <v>1</v>
      </c>
      <c r="M8" s="33">
        <f>L8*(B8+F8+G8+I8+J8+K8)</f>
        <v>34487.571428571428</v>
      </c>
    </row>
    <row r="9" spans="1:13" x14ac:dyDescent="0.3">
      <c r="A9" s="23">
        <v>1</v>
      </c>
      <c r="B9" s="25"/>
      <c r="C9" s="25">
        <f>C8</f>
        <v>2737.5</v>
      </c>
      <c r="D9" s="25">
        <f t="shared" ref="D9:D32" si="3">IF(K9=0,IF(D8+C9&gt;10000,D8+C9-10000,D8+C9),E9)</f>
        <v>5475</v>
      </c>
      <c r="E9" s="25">
        <f t="shared" ref="E9:E32" si="4">IF(E8+C9&gt;35000,E8+C9-35000,E8+C9)</f>
        <v>5475</v>
      </c>
      <c r="F9" s="33">
        <f t="shared" si="0"/>
        <v>219</v>
      </c>
      <c r="G9" s="33">
        <f t="shared" si="1"/>
        <v>492.74999999999994</v>
      </c>
      <c r="H9" s="25"/>
      <c r="I9" s="33">
        <f>I8</f>
        <v>12647.250000000002</v>
      </c>
      <c r="J9" s="33">
        <f>IF($D8+$C9&gt;10000,$B$2*0.3,0)</f>
        <v>0</v>
      </c>
      <c r="K9" s="33">
        <f>IF($E8+$C9&gt;35000,$B$2,0)</f>
        <v>0</v>
      </c>
      <c r="L9" s="31">
        <f t="shared" si="2"/>
        <v>0.86206896551724144</v>
      </c>
      <c r="M9" s="33">
        <f t="shared" ref="M9:M32" si="5">L9*(F9+G9+I9+J9+K9)</f>
        <v>11516.37931034483</v>
      </c>
    </row>
    <row r="10" spans="1:13" x14ac:dyDescent="0.3">
      <c r="A10" s="23">
        <v>2</v>
      </c>
      <c r="B10" s="25"/>
      <c r="C10" s="25">
        <f t="shared" ref="C10:C32" si="6">C9</f>
        <v>2737.5</v>
      </c>
      <c r="D10" s="25">
        <f t="shared" si="3"/>
        <v>8212.5</v>
      </c>
      <c r="E10" s="25">
        <f t="shared" si="4"/>
        <v>8212.5</v>
      </c>
      <c r="F10" s="33">
        <f t="shared" si="0"/>
        <v>219</v>
      </c>
      <c r="G10" s="33">
        <f t="shared" si="1"/>
        <v>492.74999999999994</v>
      </c>
      <c r="H10" s="25"/>
      <c r="I10" s="33">
        <f t="shared" ref="I10:I32" si="7">I9</f>
        <v>12647.250000000002</v>
      </c>
      <c r="J10" s="33">
        <f t="shared" ref="J10:J32" si="8">IF($D9+$C10&gt;10000,$B$2*0.3,0)</f>
        <v>0</v>
      </c>
      <c r="K10" s="33">
        <f t="shared" ref="K10:K32" si="9">IF($E9+$C10&gt;35000,$B$2,0)</f>
        <v>0</v>
      </c>
      <c r="L10" s="31">
        <f t="shared" si="2"/>
        <v>0.74316290130796681</v>
      </c>
      <c r="M10" s="33">
        <f t="shared" si="5"/>
        <v>9927.9131985731292</v>
      </c>
    </row>
    <row r="11" spans="1:13" x14ac:dyDescent="0.3">
      <c r="A11" s="23">
        <v>3</v>
      </c>
      <c r="B11" s="25"/>
      <c r="C11" s="25">
        <f t="shared" si="6"/>
        <v>2737.5</v>
      </c>
      <c r="D11" s="25">
        <f t="shared" si="3"/>
        <v>950</v>
      </c>
      <c r="E11" s="25">
        <f t="shared" si="4"/>
        <v>10950</v>
      </c>
      <c r="F11" s="33">
        <f t="shared" si="0"/>
        <v>219</v>
      </c>
      <c r="G11" s="33">
        <f t="shared" si="1"/>
        <v>492.74999999999994</v>
      </c>
      <c r="H11" s="25"/>
      <c r="I11" s="33">
        <f t="shared" si="7"/>
        <v>12647.250000000002</v>
      </c>
      <c r="J11" s="33">
        <f t="shared" si="8"/>
        <v>2850</v>
      </c>
      <c r="K11" s="33">
        <f t="shared" si="9"/>
        <v>0</v>
      </c>
      <c r="L11" s="31">
        <f t="shared" si="2"/>
        <v>0.64065767354135073</v>
      </c>
      <c r="M11" s="33">
        <f t="shared" si="5"/>
        <v>10384.420230431755</v>
      </c>
    </row>
    <row r="12" spans="1:13" x14ac:dyDescent="0.3">
      <c r="A12" s="23">
        <v>4</v>
      </c>
      <c r="B12" s="25"/>
      <c r="C12" s="25">
        <f t="shared" si="6"/>
        <v>2737.5</v>
      </c>
      <c r="D12" s="25">
        <f t="shared" si="3"/>
        <v>3687.5</v>
      </c>
      <c r="E12" s="25">
        <f t="shared" si="4"/>
        <v>13687.5</v>
      </c>
      <c r="F12" s="33">
        <f t="shared" si="0"/>
        <v>219</v>
      </c>
      <c r="G12" s="33">
        <f t="shared" si="1"/>
        <v>492.74999999999994</v>
      </c>
      <c r="H12" s="25"/>
      <c r="I12" s="33">
        <f t="shared" si="7"/>
        <v>12647.250000000002</v>
      </c>
      <c r="J12" s="33">
        <f t="shared" si="8"/>
        <v>0</v>
      </c>
      <c r="K12" s="33">
        <f t="shared" si="9"/>
        <v>0</v>
      </c>
      <c r="L12" s="31">
        <f t="shared" si="2"/>
        <v>0.5522910978804747</v>
      </c>
      <c r="M12" s="33">
        <f t="shared" si="5"/>
        <v>7378.0567765852629</v>
      </c>
    </row>
    <row r="13" spans="1:13" x14ac:dyDescent="0.3">
      <c r="A13" s="23">
        <v>5</v>
      </c>
      <c r="B13" s="25"/>
      <c r="C13" s="25">
        <f t="shared" si="6"/>
        <v>2737.5</v>
      </c>
      <c r="D13" s="25">
        <f t="shared" si="3"/>
        <v>6425</v>
      </c>
      <c r="E13" s="25">
        <f t="shared" si="4"/>
        <v>16425</v>
      </c>
      <c r="F13" s="33">
        <f t="shared" si="0"/>
        <v>219</v>
      </c>
      <c r="G13" s="33">
        <f t="shared" si="1"/>
        <v>492.74999999999994</v>
      </c>
      <c r="H13" s="25"/>
      <c r="I13" s="33">
        <f t="shared" si="7"/>
        <v>12647.250000000002</v>
      </c>
      <c r="J13" s="33">
        <f t="shared" si="8"/>
        <v>0</v>
      </c>
      <c r="K13" s="33">
        <f t="shared" si="9"/>
        <v>0</v>
      </c>
      <c r="L13" s="31">
        <f t="shared" si="2"/>
        <v>0.47611301541420237</v>
      </c>
      <c r="M13" s="33">
        <f t="shared" si="5"/>
        <v>6360.3937729183299</v>
      </c>
    </row>
    <row r="14" spans="1:13" x14ac:dyDescent="0.3">
      <c r="A14" s="23">
        <v>6</v>
      </c>
      <c r="B14" s="25"/>
      <c r="C14" s="25">
        <f t="shared" si="6"/>
        <v>2737.5</v>
      </c>
      <c r="D14" s="25">
        <f t="shared" si="3"/>
        <v>9162.5</v>
      </c>
      <c r="E14" s="25">
        <f t="shared" si="4"/>
        <v>19162.5</v>
      </c>
      <c r="F14" s="33">
        <f t="shared" si="0"/>
        <v>219</v>
      </c>
      <c r="G14" s="33">
        <f t="shared" si="1"/>
        <v>492.74999999999994</v>
      </c>
      <c r="H14" s="25"/>
      <c r="I14" s="33">
        <f t="shared" si="7"/>
        <v>12647.250000000002</v>
      </c>
      <c r="J14" s="33">
        <f t="shared" si="8"/>
        <v>0</v>
      </c>
      <c r="K14" s="33">
        <f t="shared" si="9"/>
        <v>0</v>
      </c>
      <c r="L14" s="31">
        <f t="shared" si="2"/>
        <v>0.41044225466741585</v>
      </c>
      <c r="M14" s="33">
        <f t="shared" si="5"/>
        <v>5483.0980801020087</v>
      </c>
    </row>
    <row r="15" spans="1:13" x14ac:dyDescent="0.3">
      <c r="A15" s="23">
        <v>7</v>
      </c>
      <c r="B15" s="25"/>
      <c r="C15" s="25">
        <f t="shared" si="6"/>
        <v>2737.5</v>
      </c>
      <c r="D15" s="25">
        <f t="shared" si="3"/>
        <v>1900</v>
      </c>
      <c r="E15" s="25">
        <f t="shared" si="4"/>
        <v>21900</v>
      </c>
      <c r="F15" s="33">
        <f t="shared" si="0"/>
        <v>219</v>
      </c>
      <c r="G15" s="33">
        <f t="shared" si="1"/>
        <v>492.74999999999994</v>
      </c>
      <c r="H15" s="25"/>
      <c r="I15" s="33">
        <f t="shared" si="7"/>
        <v>12647.250000000002</v>
      </c>
      <c r="J15" s="33">
        <f t="shared" si="8"/>
        <v>2850</v>
      </c>
      <c r="K15" s="33">
        <f t="shared" si="9"/>
        <v>0</v>
      </c>
      <c r="L15" s="31">
        <f t="shared" si="2"/>
        <v>0.35382952988570338</v>
      </c>
      <c r="M15" s="33">
        <f t="shared" si="5"/>
        <v>5735.2228499173671</v>
      </c>
    </row>
    <row r="16" spans="1:13" x14ac:dyDescent="0.3">
      <c r="A16" s="23">
        <v>8</v>
      </c>
      <c r="B16" s="25"/>
      <c r="C16" s="25">
        <f t="shared" si="6"/>
        <v>2737.5</v>
      </c>
      <c r="D16" s="25">
        <f t="shared" si="3"/>
        <v>4637.5</v>
      </c>
      <c r="E16" s="25">
        <f t="shared" si="4"/>
        <v>24637.5</v>
      </c>
      <c r="F16" s="33">
        <f t="shared" si="0"/>
        <v>219</v>
      </c>
      <c r="G16" s="33">
        <f t="shared" si="1"/>
        <v>492.74999999999994</v>
      </c>
      <c r="H16" s="25"/>
      <c r="I16" s="33">
        <f t="shared" si="7"/>
        <v>12647.250000000002</v>
      </c>
      <c r="J16" s="33">
        <f t="shared" si="8"/>
        <v>0</v>
      </c>
      <c r="K16" s="33">
        <f t="shared" si="9"/>
        <v>0</v>
      </c>
      <c r="L16" s="31">
        <f t="shared" si="2"/>
        <v>0.30502545679802012</v>
      </c>
      <c r="M16" s="33">
        <f t="shared" si="5"/>
        <v>4074.8350773647512</v>
      </c>
    </row>
    <row r="17" spans="1:13" x14ac:dyDescent="0.3">
      <c r="A17" s="23">
        <v>9</v>
      </c>
      <c r="B17" s="25"/>
      <c r="C17" s="25">
        <f t="shared" si="6"/>
        <v>2737.5</v>
      </c>
      <c r="D17" s="25">
        <f t="shared" si="3"/>
        <v>7375</v>
      </c>
      <c r="E17" s="25">
        <f t="shared" si="4"/>
        <v>27375</v>
      </c>
      <c r="F17" s="33">
        <f t="shared" si="0"/>
        <v>219</v>
      </c>
      <c r="G17" s="33">
        <f t="shared" si="1"/>
        <v>492.74999999999994</v>
      </c>
      <c r="H17" s="25"/>
      <c r="I17" s="33">
        <f t="shared" si="7"/>
        <v>12647.250000000002</v>
      </c>
      <c r="J17" s="33">
        <f t="shared" si="8"/>
        <v>0</v>
      </c>
      <c r="K17" s="33">
        <f t="shared" si="9"/>
        <v>0</v>
      </c>
      <c r="L17" s="31">
        <f t="shared" si="2"/>
        <v>0.26295297999829326</v>
      </c>
      <c r="M17" s="33">
        <f t="shared" si="5"/>
        <v>3512.7888597972001</v>
      </c>
    </row>
    <row r="18" spans="1:13" x14ac:dyDescent="0.3">
      <c r="A18" s="23">
        <v>10</v>
      </c>
      <c r="B18" s="25"/>
      <c r="C18" s="25">
        <f t="shared" si="6"/>
        <v>2737.5</v>
      </c>
      <c r="D18" s="25">
        <f>IF(K18=0,IF(D17+C18&gt;10000,D17+C18-10000,D17+C18),E18)</f>
        <v>112.5</v>
      </c>
      <c r="E18" s="25">
        <f t="shared" si="4"/>
        <v>30112.5</v>
      </c>
      <c r="F18" s="33">
        <f t="shared" si="0"/>
        <v>219</v>
      </c>
      <c r="G18" s="33">
        <f t="shared" si="1"/>
        <v>492.74999999999994</v>
      </c>
      <c r="H18" s="25"/>
      <c r="I18" s="33">
        <f t="shared" si="7"/>
        <v>12647.250000000002</v>
      </c>
      <c r="J18" s="33">
        <f t="shared" si="8"/>
        <v>2850</v>
      </c>
      <c r="K18" s="33">
        <f t="shared" si="9"/>
        <v>0</v>
      </c>
      <c r="L18" s="31">
        <f t="shared" si="2"/>
        <v>0.22668360344680452</v>
      </c>
      <c r="M18" s="33">
        <f t="shared" si="5"/>
        <v>3674.3145282692549</v>
      </c>
    </row>
    <row r="19" spans="1:13" x14ac:dyDescent="0.3">
      <c r="A19" s="23">
        <v>11</v>
      </c>
      <c r="B19" s="25"/>
      <c r="C19" s="25">
        <f t="shared" si="6"/>
        <v>2737.5</v>
      </c>
      <c r="D19" s="25">
        <f t="shared" si="3"/>
        <v>2850</v>
      </c>
      <c r="E19" s="25">
        <f t="shared" si="4"/>
        <v>32850</v>
      </c>
      <c r="F19" s="33">
        <f t="shared" si="0"/>
        <v>219</v>
      </c>
      <c r="G19" s="33">
        <f t="shared" si="1"/>
        <v>492.74999999999994</v>
      </c>
      <c r="H19" s="25"/>
      <c r="I19" s="33">
        <f t="shared" si="7"/>
        <v>12647.250000000002</v>
      </c>
      <c r="J19" s="33">
        <f t="shared" si="8"/>
        <v>0</v>
      </c>
      <c r="K19" s="33">
        <f t="shared" si="9"/>
        <v>0</v>
      </c>
      <c r="L19" s="31">
        <f t="shared" si="2"/>
        <v>0.19541689952310734</v>
      </c>
      <c r="M19" s="33">
        <f t="shared" si="5"/>
        <v>2610.5743607291915</v>
      </c>
    </row>
    <row r="20" spans="1:13" x14ac:dyDescent="0.3">
      <c r="A20" s="23">
        <v>12</v>
      </c>
      <c r="B20" s="25"/>
      <c r="C20" s="25">
        <f t="shared" si="6"/>
        <v>2737.5</v>
      </c>
      <c r="D20" s="25">
        <f t="shared" si="3"/>
        <v>587.5</v>
      </c>
      <c r="E20" s="25">
        <f t="shared" si="4"/>
        <v>587.5</v>
      </c>
      <c r="F20" s="33">
        <f t="shared" si="0"/>
        <v>219</v>
      </c>
      <c r="G20" s="33">
        <f t="shared" si="1"/>
        <v>492.74999999999994</v>
      </c>
      <c r="H20" s="25"/>
      <c r="I20" s="33">
        <f t="shared" si="7"/>
        <v>12647.250000000002</v>
      </c>
      <c r="J20" s="33">
        <f t="shared" si="8"/>
        <v>0</v>
      </c>
      <c r="K20" s="33">
        <f t="shared" si="9"/>
        <v>9500</v>
      </c>
      <c r="L20" s="31">
        <f t="shared" si="2"/>
        <v>0.16846284441647186</v>
      </c>
      <c r="M20" s="33">
        <f t="shared" si="5"/>
        <v>3850.8921605161304</v>
      </c>
    </row>
    <row r="21" spans="1:13" x14ac:dyDescent="0.3">
      <c r="A21" s="23">
        <v>13</v>
      </c>
      <c r="B21" s="25"/>
      <c r="C21" s="25">
        <f t="shared" si="6"/>
        <v>2737.5</v>
      </c>
      <c r="D21" s="25">
        <f t="shared" si="3"/>
        <v>3325</v>
      </c>
      <c r="E21" s="25">
        <f t="shared" si="4"/>
        <v>3325</v>
      </c>
      <c r="F21" s="33">
        <f t="shared" si="0"/>
        <v>219</v>
      </c>
      <c r="G21" s="33">
        <f t="shared" si="1"/>
        <v>492.74999999999994</v>
      </c>
      <c r="H21" s="25"/>
      <c r="I21" s="33">
        <f t="shared" si="7"/>
        <v>12647.250000000002</v>
      </c>
      <c r="J21" s="33">
        <f t="shared" si="8"/>
        <v>0</v>
      </c>
      <c r="K21" s="33">
        <f t="shared" si="9"/>
        <v>0</v>
      </c>
      <c r="L21" s="31">
        <f t="shared" si="2"/>
        <v>0.14522659001419991</v>
      </c>
      <c r="M21" s="33">
        <f t="shared" si="5"/>
        <v>1940.0820159996968</v>
      </c>
    </row>
    <row r="22" spans="1:13" x14ac:dyDescent="0.3">
      <c r="A22" s="23">
        <v>14</v>
      </c>
      <c r="B22" s="25"/>
      <c r="C22" s="25">
        <f t="shared" si="6"/>
        <v>2737.5</v>
      </c>
      <c r="D22" s="25">
        <f t="shared" si="3"/>
        <v>6062.5</v>
      </c>
      <c r="E22" s="25">
        <f t="shared" si="4"/>
        <v>6062.5</v>
      </c>
      <c r="F22" s="33">
        <f t="shared" si="0"/>
        <v>219</v>
      </c>
      <c r="G22" s="33">
        <f t="shared" si="1"/>
        <v>492.74999999999994</v>
      </c>
      <c r="H22" s="25"/>
      <c r="I22" s="33">
        <f t="shared" si="7"/>
        <v>12647.250000000002</v>
      </c>
      <c r="J22" s="33">
        <f t="shared" si="8"/>
        <v>0</v>
      </c>
      <c r="K22" s="33">
        <f t="shared" si="9"/>
        <v>0</v>
      </c>
      <c r="L22" s="31">
        <f t="shared" si="2"/>
        <v>0.12519533621913784</v>
      </c>
      <c r="M22" s="33">
        <f t="shared" si="5"/>
        <v>1672.4844965514626</v>
      </c>
    </row>
    <row r="23" spans="1:13" x14ac:dyDescent="0.3">
      <c r="A23" s="23">
        <v>15</v>
      </c>
      <c r="B23" s="25"/>
      <c r="C23" s="25">
        <f t="shared" si="6"/>
        <v>2737.5</v>
      </c>
      <c r="D23" s="25">
        <f t="shared" si="3"/>
        <v>8800</v>
      </c>
      <c r="E23" s="25">
        <f t="shared" si="4"/>
        <v>8800</v>
      </c>
      <c r="F23" s="33">
        <f t="shared" si="0"/>
        <v>219</v>
      </c>
      <c r="G23" s="33">
        <f t="shared" si="1"/>
        <v>492.74999999999994</v>
      </c>
      <c r="H23" s="25"/>
      <c r="I23" s="33">
        <f t="shared" si="7"/>
        <v>12647.250000000002</v>
      </c>
      <c r="J23" s="33">
        <f t="shared" si="8"/>
        <v>0</v>
      </c>
      <c r="K23" s="33">
        <f t="shared" si="9"/>
        <v>0</v>
      </c>
      <c r="L23" s="31">
        <f t="shared" si="2"/>
        <v>0.10792701398201539</v>
      </c>
      <c r="M23" s="33">
        <f t="shared" si="5"/>
        <v>1441.7969797857438</v>
      </c>
    </row>
    <row r="24" spans="1:13" x14ac:dyDescent="0.3">
      <c r="A24" s="23">
        <v>16</v>
      </c>
      <c r="B24" s="25"/>
      <c r="C24" s="25">
        <f t="shared" si="6"/>
        <v>2737.5</v>
      </c>
      <c r="D24" s="25">
        <f t="shared" si="3"/>
        <v>1537.5</v>
      </c>
      <c r="E24" s="25">
        <f t="shared" si="4"/>
        <v>11537.5</v>
      </c>
      <c r="F24" s="33">
        <f t="shared" si="0"/>
        <v>219</v>
      </c>
      <c r="G24" s="33">
        <f t="shared" si="1"/>
        <v>492.74999999999994</v>
      </c>
      <c r="H24" s="25"/>
      <c r="I24" s="33">
        <f t="shared" si="7"/>
        <v>12647.250000000002</v>
      </c>
      <c r="J24" s="33">
        <f t="shared" si="8"/>
        <v>2850</v>
      </c>
      <c r="K24" s="33">
        <f t="shared" si="9"/>
        <v>0</v>
      </c>
      <c r="L24" s="31">
        <f t="shared" si="2"/>
        <v>9.3040529294840857E-2</v>
      </c>
      <c r="M24" s="33">
        <f t="shared" si="5"/>
        <v>1508.0939393400756</v>
      </c>
    </row>
    <row r="25" spans="1:13" x14ac:dyDescent="0.3">
      <c r="A25" s="23">
        <v>17</v>
      </c>
      <c r="B25" s="25"/>
      <c r="C25" s="25">
        <f t="shared" si="6"/>
        <v>2737.5</v>
      </c>
      <c r="D25" s="25">
        <f t="shared" si="3"/>
        <v>4275</v>
      </c>
      <c r="E25" s="25">
        <f t="shared" si="4"/>
        <v>14275</v>
      </c>
      <c r="F25" s="33">
        <f t="shared" si="0"/>
        <v>219</v>
      </c>
      <c r="G25" s="33">
        <f t="shared" si="1"/>
        <v>492.74999999999994</v>
      </c>
      <c r="H25" s="25"/>
      <c r="I25" s="33">
        <f t="shared" si="7"/>
        <v>12647.250000000002</v>
      </c>
      <c r="J25" s="33">
        <f t="shared" si="8"/>
        <v>0</v>
      </c>
      <c r="K25" s="33">
        <f t="shared" si="9"/>
        <v>0</v>
      </c>
      <c r="L25" s="31">
        <f t="shared" si="2"/>
        <v>8.0207352840380053E-2</v>
      </c>
      <c r="M25" s="33">
        <f t="shared" si="5"/>
        <v>1071.4900265946374</v>
      </c>
    </row>
    <row r="26" spans="1:13" x14ac:dyDescent="0.3">
      <c r="A26" s="23">
        <v>18</v>
      </c>
      <c r="B26" s="25"/>
      <c r="C26" s="25">
        <f t="shared" si="6"/>
        <v>2737.5</v>
      </c>
      <c r="D26" s="25">
        <f t="shared" si="3"/>
        <v>7012.5</v>
      </c>
      <c r="E26" s="25">
        <f t="shared" si="4"/>
        <v>17012.5</v>
      </c>
      <c r="F26" s="33">
        <f t="shared" si="0"/>
        <v>219</v>
      </c>
      <c r="G26" s="33">
        <f t="shared" si="1"/>
        <v>492.74999999999994</v>
      </c>
      <c r="H26" s="25"/>
      <c r="I26" s="33">
        <f t="shared" si="7"/>
        <v>12647.250000000002</v>
      </c>
      <c r="J26" s="33">
        <f t="shared" si="8"/>
        <v>0</v>
      </c>
      <c r="K26" s="33">
        <f t="shared" si="9"/>
        <v>0</v>
      </c>
      <c r="L26" s="31">
        <f t="shared" si="2"/>
        <v>6.9144269689982801E-2</v>
      </c>
      <c r="M26" s="33">
        <f t="shared" si="5"/>
        <v>923.69829878848032</v>
      </c>
    </row>
    <row r="27" spans="1:13" x14ac:dyDescent="0.3">
      <c r="A27" s="23">
        <v>19</v>
      </c>
      <c r="B27" s="25"/>
      <c r="C27" s="25">
        <f t="shared" si="6"/>
        <v>2737.5</v>
      </c>
      <c r="D27" s="25">
        <f t="shared" si="3"/>
        <v>9750</v>
      </c>
      <c r="E27" s="25">
        <f t="shared" si="4"/>
        <v>19750</v>
      </c>
      <c r="F27" s="33">
        <f t="shared" si="0"/>
        <v>219</v>
      </c>
      <c r="G27" s="33">
        <f t="shared" si="1"/>
        <v>492.74999999999994</v>
      </c>
      <c r="H27" s="25"/>
      <c r="I27" s="33">
        <f t="shared" si="7"/>
        <v>12647.250000000002</v>
      </c>
      <c r="J27" s="33">
        <f t="shared" si="8"/>
        <v>0</v>
      </c>
      <c r="K27" s="33">
        <f t="shared" si="9"/>
        <v>0</v>
      </c>
      <c r="L27" s="31">
        <f t="shared" si="2"/>
        <v>5.9607129043088625E-2</v>
      </c>
      <c r="M27" s="33">
        <f t="shared" si="5"/>
        <v>796.29163688662106</v>
      </c>
    </row>
    <row r="28" spans="1:13" x14ac:dyDescent="0.3">
      <c r="A28" s="23">
        <v>20</v>
      </c>
      <c r="B28" s="25"/>
      <c r="C28" s="25">
        <f t="shared" si="6"/>
        <v>2737.5</v>
      </c>
      <c r="D28" s="25">
        <f t="shared" si="3"/>
        <v>2487.5</v>
      </c>
      <c r="E28" s="25">
        <f t="shared" si="4"/>
        <v>22487.5</v>
      </c>
      <c r="F28" s="33">
        <f t="shared" si="0"/>
        <v>219</v>
      </c>
      <c r="G28" s="33">
        <f t="shared" si="1"/>
        <v>492.74999999999994</v>
      </c>
      <c r="H28" s="25"/>
      <c r="I28" s="33">
        <f t="shared" si="7"/>
        <v>12647.250000000002</v>
      </c>
      <c r="J28" s="33">
        <f t="shared" si="8"/>
        <v>2850</v>
      </c>
      <c r="K28" s="33">
        <f t="shared" si="9"/>
        <v>0</v>
      </c>
      <c r="L28" s="31">
        <f t="shared" si="2"/>
        <v>5.138545607162813E-2</v>
      </c>
      <c r="M28" s="33">
        <f t="shared" si="5"/>
        <v>832.90685746502049</v>
      </c>
    </row>
    <row r="29" spans="1:13" x14ac:dyDescent="0.3">
      <c r="A29" s="23">
        <v>21</v>
      </c>
      <c r="B29" s="25"/>
      <c r="C29" s="25">
        <f t="shared" si="6"/>
        <v>2737.5</v>
      </c>
      <c r="D29" s="25">
        <f t="shared" si="3"/>
        <v>5225</v>
      </c>
      <c r="E29" s="25">
        <f t="shared" si="4"/>
        <v>25225</v>
      </c>
      <c r="F29" s="33">
        <f t="shared" si="0"/>
        <v>219</v>
      </c>
      <c r="G29" s="33">
        <f t="shared" si="1"/>
        <v>492.74999999999994</v>
      </c>
      <c r="H29" s="25"/>
      <c r="I29" s="33">
        <f t="shared" si="7"/>
        <v>12647.250000000002</v>
      </c>
      <c r="J29" s="33">
        <f t="shared" si="8"/>
        <v>0</v>
      </c>
      <c r="K29" s="33">
        <f t="shared" si="9"/>
        <v>0</v>
      </c>
      <c r="L29" s="31">
        <f t="shared" si="2"/>
        <v>4.4297806958300108E-2</v>
      </c>
      <c r="M29" s="33">
        <f t="shared" si="5"/>
        <v>591.77440315593117</v>
      </c>
    </row>
    <row r="30" spans="1:13" x14ac:dyDescent="0.3">
      <c r="A30" s="23">
        <v>22</v>
      </c>
      <c r="B30" s="25"/>
      <c r="C30" s="25">
        <f t="shared" si="6"/>
        <v>2737.5</v>
      </c>
      <c r="D30" s="25">
        <f t="shared" si="3"/>
        <v>7962.5</v>
      </c>
      <c r="E30" s="25">
        <f t="shared" si="4"/>
        <v>27962.5</v>
      </c>
      <c r="F30" s="33">
        <f t="shared" si="0"/>
        <v>219</v>
      </c>
      <c r="G30" s="33">
        <f t="shared" si="1"/>
        <v>492.74999999999994</v>
      </c>
      <c r="H30" s="25"/>
      <c r="I30" s="33">
        <f t="shared" si="7"/>
        <v>12647.250000000002</v>
      </c>
      <c r="J30" s="33">
        <f t="shared" si="8"/>
        <v>0</v>
      </c>
      <c r="K30" s="33">
        <f t="shared" si="9"/>
        <v>0</v>
      </c>
      <c r="L30" s="31">
        <f t="shared" si="2"/>
        <v>3.8187764619224233E-2</v>
      </c>
      <c r="M30" s="33">
        <f t="shared" si="5"/>
        <v>510.15034754821659</v>
      </c>
    </row>
    <row r="31" spans="1:13" x14ac:dyDescent="0.3">
      <c r="A31" s="23">
        <v>23</v>
      </c>
      <c r="B31" s="25"/>
      <c r="C31" s="25">
        <f t="shared" si="6"/>
        <v>2737.5</v>
      </c>
      <c r="D31" s="25">
        <f t="shared" si="3"/>
        <v>700</v>
      </c>
      <c r="E31" s="25">
        <f t="shared" si="4"/>
        <v>30700</v>
      </c>
      <c r="F31" s="33">
        <f t="shared" si="0"/>
        <v>219</v>
      </c>
      <c r="G31" s="33">
        <f t="shared" si="1"/>
        <v>492.74999999999994</v>
      </c>
      <c r="H31" s="25"/>
      <c r="I31" s="33">
        <f t="shared" si="7"/>
        <v>12647.250000000002</v>
      </c>
      <c r="J31" s="33">
        <f t="shared" si="8"/>
        <v>2850</v>
      </c>
      <c r="K31" s="33">
        <f t="shared" si="9"/>
        <v>0</v>
      </c>
      <c r="L31" s="31">
        <f t="shared" si="2"/>
        <v>3.2920486740710547E-2</v>
      </c>
      <c r="M31" s="33">
        <f t="shared" si="5"/>
        <v>533.60816958017733</v>
      </c>
    </row>
    <row r="32" spans="1:13" x14ac:dyDescent="0.3">
      <c r="A32" s="23">
        <v>24</v>
      </c>
      <c r="B32" s="25"/>
      <c r="C32" s="25">
        <f t="shared" si="6"/>
        <v>2737.5</v>
      </c>
      <c r="D32" s="25">
        <f t="shared" si="3"/>
        <v>3437.5</v>
      </c>
      <c r="E32" s="25">
        <f t="shared" si="4"/>
        <v>33437.5</v>
      </c>
      <c r="F32" s="33">
        <f t="shared" si="0"/>
        <v>219</v>
      </c>
      <c r="G32" s="33">
        <f t="shared" si="1"/>
        <v>492.74999999999994</v>
      </c>
      <c r="H32" s="25"/>
      <c r="I32" s="33">
        <f t="shared" si="7"/>
        <v>12647.250000000002</v>
      </c>
      <c r="J32" s="33">
        <f t="shared" si="8"/>
        <v>0</v>
      </c>
      <c r="K32" s="33">
        <f t="shared" si="9"/>
        <v>0</v>
      </c>
      <c r="L32" s="31">
        <f t="shared" si="2"/>
        <v>2.8379729948888405E-2</v>
      </c>
      <c r="M32" s="33">
        <f t="shared" si="5"/>
        <v>379.12481238720022</v>
      </c>
    </row>
    <row r="33" spans="5:13" x14ac:dyDescent="0.3">
      <c r="L33" s="74"/>
      <c r="M33" s="34"/>
    </row>
    <row r="34" spans="5:13" x14ac:dyDescent="0.3">
      <c r="L34" s="24" t="s">
        <v>27</v>
      </c>
      <c r="M34" s="35">
        <f>SUM(M8:M33)</f>
        <v>121197.96261820391</v>
      </c>
    </row>
    <row r="35" spans="5:13" x14ac:dyDescent="0.3">
      <c r="E35" s="26"/>
    </row>
  </sheetData>
  <pageMargins left="0.7" right="0.7" top="0.75" bottom="0.75" header="0.3" footer="0.3"/>
  <pageSetup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9"/>
  <sheetViews>
    <sheetView workbookViewId="0">
      <selection activeCell="B30" sqref="B30"/>
    </sheetView>
  </sheetViews>
  <sheetFormatPr defaultColWidth="11" defaultRowHeight="14" x14ac:dyDescent="0.3"/>
  <cols>
    <col min="1" max="1" width="19.08203125" style="21" bestFit="1" customWidth="1"/>
    <col min="2" max="2" width="25.75" style="21" customWidth="1"/>
    <col min="3" max="16384" width="11" style="21"/>
  </cols>
  <sheetData>
    <row r="1" spans="1:2" s="22" customFormat="1" ht="28" x14ac:dyDescent="0.3">
      <c r="A1" s="18" t="s">
        <v>23</v>
      </c>
      <c r="B1" s="18" t="s">
        <v>45</v>
      </c>
    </row>
    <row r="2" spans="1:2" s="22" customFormat="1" x14ac:dyDescent="0.3">
      <c r="A2" s="18"/>
      <c r="B2" s="18"/>
    </row>
    <row r="3" spans="1:2" x14ac:dyDescent="0.3">
      <c r="A3" s="23">
        <v>0</v>
      </c>
      <c r="B3" s="33">
        <f>'5 Generator (Hybrid)'!M8+'4 Solar (Hybrid)'!J6</f>
        <v>74285.148571428566</v>
      </c>
    </row>
    <row r="4" spans="1:2" x14ac:dyDescent="0.3">
      <c r="A4" s="23">
        <v>1</v>
      </c>
      <c r="B4" s="33">
        <f>'5 Generator (Hybrid)'!M9+'4 Solar (Hybrid)'!J7</f>
        <v>12809.482758620692</v>
      </c>
    </row>
    <row r="5" spans="1:2" x14ac:dyDescent="0.3">
      <c r="A5" s="23">
        <v>2</v>
      </c>
      <c r="B5" s="33">
        <f>'5 Generator (Hybrid)'!M10+'4 Solar (Hybrid)'!J8</f>
        <v>11042.657550535079</v>
      </c>
    </row>
    <row r="6" spans="1:2" x14ac:dyDescent="0.3">
      <c r="A6" s="23">
        <v>3</v>
      </c>
      <c r="B6" s="33">
        <f>'5 Generator (Hybrid)'!M11+'4 Solar (Hybrid)'!J9</f>
        <v>11345.406740743781</v>
      </c>
    </row>
    <row r="7" spans="1:2" x14ac:dyDescent="0.3">
      <c r="A7" s="23">
        <v>4</v>
      </c>
      <c r="B7" s="33">
        <f>'5 Generator (Hybrid)'!M12+'4 Solar (Hybrid)'!J10</f>
        <v>8206.4934234059747</v>
      </c>
    </row>
    <row r="8" spans="1:2" x14ac:dyDescent="0.3">
      <c r="A8" s="23">
        <v>5</v>
      </c>
      <c r="B8" s="33">
        <f>'5 Generator (Hybrid)'!M13+'4 Solar (Hybrid)'!J11</f>
        <v>7074.5632960396333</v>
      </c>
    </row>
    <row r="9" spans="1:2" x14ac:dyDescent="0.3">
      <c r="A9" s="23">
        <v>6</v>
      </c>
      <c r="B9" s="33">
        <f>'5 Generator (Hybrid)'!M14+'4 Solar (Hybrid)'!J12</f>
        <v>6929.9070278046493</v>
      </c>
    </row>
    <row r="10" spans="1:2" x14ac:dyDescent="0.3">
      <c r="A10" s="23">
        <v>7</v>
      </c>
      <c r="B10" s="33">
        <f>'5 Generator (Hybrid)'!M15+'4 Solar (Hybrid)'!J13</f>
        <v>6265.9671447459223</v>
      </c>
    </row>
    <row r="11" spans="1:2" x14ac:dyDescent="0.3">
      <c r="A11" s="23">
        <v>8</v>
      </c>
      <c r="B11" s="33">
        <f>'5 Generator (Hybrid)'!M16+'4 Solar (Hybrid)'!J14</f>
        <v>4532.3732625617813</v>
      </c>
    </row>
    <row r="12" spans="1:2" x14ac:dyDescent="0.3">
      <c r="A12" s="23">
        <v>9</v>
      </c>
      <c r="B12" s="33">
        <f>'5 Generator (Hybrid)'!M17+'4 Solar (Hybrid)'!J15</f>
        <v>3907.2183297946399</v>
      </c>
    </row>
    <row r="13" spans="1:2" x14ac:dyDescent="0.3">
      <c r="A13" s="23">
        <v>10</v>
      </c>
      <c r="B13" s="33">
        <f>'5 Generator (Hybrid)'!M18+'4 Solar (Hybrid)'!J16</f>
        <v>4014.3399334394617</v>
      </c>
    </row>
    <row r="14" spans="1:2" x14ac:dyDescent="0.3">
      <c r="A14" s="23">
        <v>11</v>
      </c>
      <c r="B14" s="33">
        <f>'5 Generator (Hybrid)'!M19+'4 Solar (Hybrid)'!J17</f>
        <v>2903.6997100138524</v>
      </c>
    </row>
    <row r="15" spans="1:2" x14ac:dyDescent="0.3">
      <c r="A15" s="23">
        <v>12</v>
      </c>
      <c r="B15" s="33">
        <f>'5 Generator (Hybrid)'!M20+'4 Solar (Hybrid)'!J18</f>
        <v>4103.5864271408382</v>
      </c>
    </row>
    <row r="16" spans="1:2" x14ac:dyDescent="0.3">
      <c r="A16" s="23">
        <v>13</v>
      </c>
      <c r="B16" s="33">
        <f>'5 Generator (Hybrid)'!M21+'4 Solar (Hybrid)'!J19</f>
        <v>2452.0057457997514</v>
      </c>
    </row>
    <row r="17" spans="1:2" x14ac:dyDescent="0.3">
      <c r="A17" s="23">
        <v>14</v>
      </c>
      <c r="B17" s="33">
        <f>'5 Generator (Hybrid)'!M22+'4 Solar (Hybrid)'!J20</f>
        <v>1860.2775008801693</v>
      </c>
    </row>
    <row r="18" spans="1:2" x14ac:dyDescent="0.3">
      <c r="A18" s="23">
        <v>15</v>
      </c>
      <c r="B18" s="33">
        <f>'5 Generator (Hybrid)'!M23+'4 Solar (Hybrid)'!J21</f>
        <v>1603.6875007587669</v>
      </c>
    </row>
    <row r="19" spans="1:2" x14ac:dyDescent="0.3">
      <c r="A19" s="23">
        <v>16</v>
      </c>
      <c r="B19" s="33">
        <f>'5 Generator (Hybrid)'!M24+'4 Solar (Hybrid)'!J22</f>
        <v>1647.654733282337</v>
      </c>
    </row>
    <row r="20" spans="1:2" x14ac:dyDescent="0.3">
      <c r="A20" s="23">
        <v>17</v>
      </c>
      <c r="B20" s="33">
        <f>'5 Generator (Hybrid)'!M25+'4 Solar (Hybrid)'!J23</f>
        <v>1191.8010558552073</v>
      </c>
    </row>
    <row r="21" spans="1:2" x14ac:dyDescent="0.3">
      <c r="A21" s="23">
        <v>18</v>
      </c>
      <c r="B21" s="33">
        <f>'5 Generator (Hybrid)'!M26+'4 Solar (Hybrid)'!J24</f>
        <v>1027.4147033234544</v>
      </c>
    </row>
    <row r="22" spans="1:2" x14ac:dyDescent="0.3">
      <c r="A22" s="23">
        <v>19</v>
      </c>
      <c r="B22" s="33">
        <f>'5 Generator (Hybrid)'!M27+'4 Solar (Hybrid)'!J25</f>
        <v>885.70233045125406</v>
      </c>
    </row>
    <row r="23" spans="1:2" x14ac:dyDescent="0.3">
      <c r="A23" s="23">
        <v>20</v>
      </c>
      <c r="B23" s="33">
        <f>'5 Generator (Hybrid)'!M28+'4 Solar (Hybrid)'!J26</f>
        <v>909.98504157246271</v>
      </c>
    </row>
    <row r="24" spans="1:2" x14ac:dyDescent="0.3">
      <c r="A24" s="23">
        <v>21</v>
      </c>
      <c r="B24" s="33">
        <f>'5 Generator (Hybrid)'!M29+'4 Solar (Hybrid)'!J27</f>
        <v>747.9241726839391</v>
      </c>
    </row>
    <row r="25" spans="1:2" x14ac:dyDescent="0.3">
      <c r="A25" s="23">
        <v>22</v>
      </c>
      <c r="B25" s="33">
        <f>'5 Generator (Hybrid)'!M30+'4 Solar (Hybrid)'!J28</f>
        <v>567.43199447705297</v>
      </c>
    </row>
    <row r="26" spans="1:2" x14ac:dyDescent="0.3">
      <c r="A26" s="23">
        <v>23</v>
      </c>
      <c r="B26" s="33">
        <f>'5 Generator (Hybrid)'!M31+'4 Solar (Hybrid)'!J29</f>
        <v>582.9888996912432</v>
      </c>
    </row>
    <row r="27" spans="1:2" x14ac:dyDescent="0.3">
      <c r="A27" s="23">
        <v>24</v>
      </c>
      <c r="B27" s="33">
        <f>'5 Generator (Hybrid)'!M32+'4 Solar (Hybrid)'!J30</f>
        <v>421.69440731053282</v>
      </c>
    </row>
    <row r="29" spans="1:2" x14ac:dyDescent="0.3">
      <c r="A29" s="24" t="s">
        <v>74</v>
      </c>
      <c r="B29" s="35">
        <f>SUM(B3:B28)</f>
        <v>171319.412262361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Q29"/>
  <sheetViews>
    <sheetView tabSelected="1" zoomScale="70" zoomScaleNormal="70" workbookViewId="0">
      <selection activeCell="Q9" sqref="Q9"/>
    </sheetView>
  </sheetViews>
  <sheetFormatPr defaultColWidth="11" defaultRowHeight="14" x14ac:dyDescent="0.3"/>
  <cols>
    <col min="1" max="1" width="15.75" style="28" customWidth="1"/>
    <col min="2" max="2" width="11" style="28"/>
    <col min="3" max="3" width="21.25" style="28" bestFit="1" customWidth="1"/>
  </cols>
  <sheetData>
    <row r="1" spans="1:17" x14ac:dyDescent="0.3">
      <c r="A1" s="27" t="s">
        <v>30</v>
      </c>
    </row>
    <row r="2" spans="1:17" ht="9" customHeight="1" x14ac:dyDescent="0.3"/>
    <row r="3" spans="1:17" x14ac:dyDescent="0.3">
      <c r="A3" s="29" t="s">
        <v>23</v>
      </c>
      <c r="B3" s="29" t="s">
        <v>1</v>
      </c>
      <c r="C3" s="29" t="s">
        <v>44</v>
      </c>
    </row>
    <row r="4" spans="1:17" x14ac:dyDescent="0.3">
      <c r="A4" s="29" t="s">
        <v>43</v>
      </c>
      <c r="B4" s="36">
        <f>'3 Generator System'!B3</f>
        <v>21128.571428571428</v>
      </c>
      <c r="C4" s="36">
        <f>'4 Solar (Hybrid)'!B2+'5 Generator (Hybrid)'!B3</f>
        <v>59426.148571428566</v>
      </c>
    </row>
    <row r="5" spans="1:17" x14ac:dyDescent="0.3">
      <c r="A5" s="30">
        <v>1</v>
      </c>
      <c r="B5" s="36">
        <f>'3 Generator System'!M8</f>
        <v>45313.851428571434</v>
      </c>
      <c r="C5" s="36">
        <f>'4 Solar (Hybrid)'!J6+'5 Generator (Hybrid)'!M8</f>
        <v>74285.148571428566</v>
      </c>
    </row>
    <row r="6" spans="1:17" x14ac:dyDescent="0.3">
      <c r="A6" s="30">
        <v>2</v>
      </c>
      <c r="B6" s="36">
        <f>B5+'3 Generator System'!M9</f>
        <v>66907.851428571434</v>
      </c>
      <c r="C6" s="36">
        <f>C5+'4 Solar (Hybrid)'!J7+'5 Generator (Hybrid)'!M9</f>
        <v>87094.631330049247</v>
      </c>
    </row>
    <row r="7" spans="1:17" x14ac:dyDescent="0.3">
      <c r="A7" s="30">
        <v>3</v>
      </c>
      <c r="B7" s="36">
        <f>B6+'3 Generator System'!M10</f>
        <v>88460.211122448993</v>
      </c>
      <c r="C7" s="36">
        <f>C6+'4 Solar (Hybrid)'!J8+'5 Generator (Hybrid)'!M10</f>
        <v>98137.288880584325</v>
      </c>
    </row>
    <row r="8" spans="1:17" x14ac:dyDescent="0.3">
      <c r="A8" s="30">
        <v>4</v>
      </c>
      <c r="B8" s="36">
        <f>B7+'3 Generator System'!M11</f>
        <v>105674.81571428572</v>
      </c>
      <c r="C8" s="36">
        <f>C7+'4 Solar (Hybrid)'!J9+'5 Generator (Hybrid)'!M11</f>
        <v>109482.69562132811</v>
      </c>
    </row>
    <row r="9" spans="1:17" x14ac:dyDescent="0.3">
      <c r="A9" s="77">
        <v>5</v>
      </c>
      <c r="B9" s="78">
        <f>B8+'3 Generator System'!M12</f>
        <v>122856.22490902229</v>
      </c>
      <c r="C9" s="78">
        <f>C8+'4 Solar (Hybrid)'!J10+'5 Generator (Hybrid)'!M12</f>
        <v>117689.18904473408</v>
      </c>
      <c r="N9" t="s">
        <v>120</v>
      </c>
      <c r="Q9" s="79">
        <f>B9-C9</f>
        <v>5167.0358642882056</v>
      </c>
    </row>
    <row r="10" spans="1:17" x14ac:dyDescent="0.3">
      <c r="A10" s="30">
        <v>6</v>
      </c>
      <c r="B10" s="36">
        <f>B9+'3 Generator System'!M13</f>
        <v>136579.6022940962</v>
      </c>
      <c r="C10" s="36">
        <f>C9+'4 Solar (Hybrid)'!J11+'5 Generator (Hybrid)'!M13</f>
        <v>124763.75234077372</v>
      </c>
    </row>
    <row r="11" spans="1:17" x14ac:dyDescent="0.3">
      <c r="A11" s="30">
        <v>7</v>
      </c>
      <c r="B11" s="36">
        <f>B10+'3 Generator System'!M14</f>
        <v>150276.516511839</v>
      </c>
      <c r="C11" s="36">
        <f>C10+'4 Solar (Hybrid)'!J12+'5 Generator (Hybrid)'!M14</f>
        <v>131693.65936857837</v>
      </c>
      <c r="N11" t="s">
        <v>121</v>
      </c>
      <c r="Q11" s="79">
        <f>B14-C14</f>
        <v>38632.03033473072</v>
      </c>
    </row>
    <row r="12" spans="1:17" x14ac:dyDescent="0.3">
      <c r="A12" s="30">
        <v>8</v>
      </c>
      <c r="B12" s="36">
        <f>B11+'3 Generator System'!M15</f>
        <v>165514.02648824255</v>
      </c>
      <c r="C12" s="36">
        <f>C11+'4 Solar (Hybrid)'!J13+'5 Generator (Hybrid)'!M15</f>
        <v>137959.6265133243</v>
      </c>
    </row>
    <row r="13" spans="1:17" x14ac:dyDescent="0.3">
      <c r="A13" s="30">
        <v>9</v>
      </c>
      <c r="B13" s="36">
        <f>B12+'3 Generator System'!M16</f>
        <v>175282.05544422744</v>
      </c>
      <c r="C13" s="36">
        <f>C12+'4 Solar (Hybrid)'!J14+'5 Generator (Hybrid)'!M16</f>
        <v>142491.99977588607</v>
      </c>
      <c r="N13" t="s">
        <v>122</v>
      </c>
      <c r="Q13" s="79">
        <f>B29-C29</f>
        <v>78749.39380945664</v>
      </c>
    </row>
    <row r="14" spans="1:17" x14ac:dyDescent="0.3">
      <c r="A14" s="77">
        <v>10</v>
      </c>
      <c r="B14" s="78">
        <f>B13+'3 Generator System'!M17</f>
        <v>185031.24844041144</v>
      </c>
      <c r="C14" s="78">
        <f>C13+'4 Solar (Hybrid)'!J15+'5 Generator (Hybrid)'!M17</f>
        <v>146399.21810568072</v>
      </c>
    </row>
    <row r="15" spans="1:17" x14ac:dyDescent="0.3">
      <c r="A15" s="30">
        <v>11</v>
      </c>
      <c r="B15" s="36">
        <f>B14+'3 Generator System'!M18</f>
        <v>192818.26131986367</v>
      </c>
      <c r="C15" s="36">
        <f>C14+'4 Solar (Hybrid)'!J16+'5 Generator (Hybrid)'!M18</f>
        <v>150413.55803912019</v>
      </c>
    </row>
    <row r="16" spans="1:17" x14ac:dyDescent="0.3">
      <c r="A16" s="30">
        <v>12</v>
      </c>
      <c r="B16" s="36">
        <f>B15+'3 Generator System'!M19</f>
        <v>200590.25828748484</v>
      </c>
      <c r="C16" s="36">
        <f>C15+'4 Solar (Hybrid)'!J17+'5 Generator (Hybrid)'!M19</f>
        <v>153317.25774913406</v>
      </c>
    </row>
    <row r="17" spans="1:3" x14ac:dyDescent="0.3">
      <c r="A17" s="30">
        <v>13</v>
      </c>
      <c r="B17" s="36">
        <f>B16+'3 Generator System'!M20</f>
        <v>206798.01727939511</v>
      </c>
      <c r="C17" s="36">
        <f>C16+'4 Solar (Hybrid)'!J18+'5 Generator (Hybrid)'!M20</f>
        <v>157420.8441762749</v>
      </c>
    </row>
    <row r="18" spans="1:3" x14ac:dyDescent="0.3">
      <c r="A18" s="30">
        <v>14</v>
      </c>
      <c r="B18" s="36">
        <f>B17+'3 Generator System'!M21</f>
        <v>212993.8056783278</v>
      </c>
      <c r="C18" s="36">
        <f>C17+'4 Solar (Hybrid)'!J19+'5 Generator (Hybrid)'!M21</f>
        <v>159872.84992207467</v>
      </c>
    </row>
    <row r="19" spans="1:3" x14ac:dyDescent="0.3">
      <c r="A19" s="30">
        <v>15</v>
      </c>
      <c r="B19" s="36">
        <f>B18+'3 Generator System'!M22</f>
        <v>219886.48135984203</v>
      </c>
      <c r="C19" s="36">
        <f>C18+'4 Solar (Hybrid)'!J20+'5 Generator (Hybrid)'!M22</f>
        <v>161733.12742295483</v>
      </c>
    </row>
    <row r="20" spans="1:3" x14ac:dyDescent="0.3">
      <c r="A20" s="30">
        <v>16</v>
      </c>
      <c r="B20" s="36">
        <f>B19+'3 Generator System'!M23</f>
        <v>224305.04159346985</v>
      </c>
      <c r="C20" s="36">
        <f>C19+'4 Solar (Hybrid)'!J21+'5 Generator (Hybrid)'!M23</f>
        <v>163336.81492371359</v>
      </c>
    </row>
    <row r="21" spans="1:3" x14ac:dyDescent="0.3">
      <c r="A21" s="30">
        <v>17</v>
      </c>
      <c r="B21" s="36">
        <f>B20+'3 Generator System'!M24</f>
        <v>228715.08139546163</v>
      </c>
      <c r="C21" s="36">
        <f>C20+'4 Solar (Hybrid)'!J22+'5 Generator (Hybrid)'!M24</f>
        <v>164984.46965699591</v>
      </c>
    </row>
    <row r="22" spans="1:3" x14ac:dyDescent="0.3">
      <c r="A22" s="30">
        <v>18</v>
      </c>
      <c r="B22" s="36">
        <f>B21+'3 Generator System'!M25</f>
        <v>232237.53056130014</v>
      </c>
      <c r="C22" s="36">
        <f>C21+'4 Solar (Hybrid)'!J23+'5 Generator (Hybrid)'!M25</f>
        <v>166176.27071285111</v>
      </c>
    </row>
    <row r="23" spans="1:3" x14ac:dyDescent="0.3">
      <c r="A23" s="30">
        <v>19</v>
      </c>
      <c r="B23" s="36">
        <f>B22+'3 Generator System'!M26</f>
        <v>235753.18729120429</v>
      </c>
      <c r="C23" s="36">
        <f>C22+'4 Solar (Hybrid)'!J24+'5 Generator (Hybrid)'!M26</f>
        <v>167203.68541617456</v>
      </c>
    </row>
    <row r="24" spans="1:3" x14ac:dyDescent="0.3">
      <c r="A24" s="30">
        <v>20</v>
      </c>
      <c r="B24" s="36">
        <f>B23+'3 Generator System'!M27</f>
        <v>238561.26220019543</v>
      </c>
      <c r="C24" s="36">
        <f>C23+'4 Solar (Hybrid)'!J25+'5 Generator (Hybrid)'!M27</f>
        <v>168089.38774662581</v>
      </c>
    </row>
    <row r="25" spans="1:3" x14ac:dyDescent="0.3">
      <c r="A25" s="30">
        <v>21</v>
      </c>
      <c r="B25" s="36">
        <f>B24+'3 Generator System'!M28</f>
        <v>241363.92222084606</v>
      </c>
      <c r="C25" s="36">
        <f>C24+'4 Solar (Hybrid)'!J26+'5 Generator (Hybrid)'!M28</f>
        <v>168999.37278819826</v>
      </c>
    </row>
    <row r="26" spans="1:3" x14ac:dyDescent="0.3">
      <c r="A26" s="30">
        <v>22</v>
      </c>
      <c r="B26" s="36">
        <f>B25+'3 Generator System'!M29</f>
        <v>244481.81865695069</v>
      </c>
      <c r="C26" s="36">
        <f>C25+'4 Solar (Hybrid)'!J27+'5 Generator (Hybrid)'!M29</f>
        <v>169747.2969608822</v>
      </c>
    </row>
    <row r="27" spans="1:3" x14ac:dyDescent="0.3">
      <c r="A27" s="30">
        <v>23</v>
      </c>
      <c r="B27" s="36">
        <f>B26+'3 Generator System'!M30</f>
        <v>246480.55091155105</v>
      </c>
      <c r="C27" s="36">
        <f>C26+'4 Solar (Hybrid)'!J28+'5 Generator (Hybrid)'!M30</f>
        <v>170314.72895535926</v>
      </c>
    </row>
    <row r="28" spans="1:3" x14ac:dyDescent="0.3">
      <c r="A28" s="30">
        <v>24</v>
      </c>
      <c r="B28" s="36">
        <f>B27+'3 Generator System'!M31</f>
        <v>248475.42895558651</v>
      </c>
      <c r="C28" s="36">
        <f>C27+'4 Solar (Hybrid)'!J29+'5 Generator (Hybrid)'!M31</f>
        <v>170897.71785505049</v>
      </c>
    </row>
    <row r="29" spans="1:3" x14ac:dyDescent="0.3">
      <c r="A29" s="77">
        <v>25</v>
      </c>
      <c r="B29" s="78">
        <f>B28+'3 Generator System'!M32</f>
        <v>250068.80607181764</v>
      </c>
      <c r="C29" s="78">
        <f>C28+'4 Solar (Hybrid)'!J30+'5 Generator (Hybrid)'!M32</f>
        <v>171319.412262361</v>
      </c>
    </row>
  </sheetData>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0 EXAMPLE</vt:lpstr>
      <vt:lpstr>1 Reference Cost for Generators</vt:lpstr>
      <vt:lpstr>2 Generator Fuel Consumption</vt:lpstr>
      <vt:lpstr>3 Generator System</vt:lpstr>
      <vt:lpstr>4 Solar (Hybrid)</vt:lpstr>
      <vt:lpstr>5 Generator (Hybrid)</vt:lpstr>
      <vt:lpstr>6 Hybrid (Solar &amp; Generator)</vt:lpstr>
      <vt:lpstr>7 Graph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Ibanez</dc:creator>
  <cp:lastModifiedBy>LLARIO Alberto</cp:lastModifiedBy>
  <cp:revision>3</cp:revision>
  <cp:lastPrinted>2016-02-05T09:56:21Z</cp:lastPrinted>
  <dcterms:created xsi:type="dcterms:W3CDTF">2016-02-05T06:51:09Z</dcterms:created>
  <dcterms:modified xsi:type="dcterms:W3CDTF">2021-01-28T06:22:51Z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2020-09-11T09:12:17Z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1d4a05bc-92ad-4e30-bfc4-cf94cd03ddb0</vt:lpwstr>
  </property>
  <property fmtid="{D5CDD505-2E9C-101B-9397-08002B2CF9AE}" pid="8" name="MSIP_Label_2059aa38-f392-4105-be92-628035578272_ContentBits">
    <vt:lpwstr>0</vt:lpwstr>
  </property>
</Properties>
</file>